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4951" yWindow="150" windowWidth="11580" windowHeight="8070" activeTab="0"/>
  </bookViews>
  <sheets>
    <sheet name="Eingabe" sheetId="1" r:id="rId1"/>
    <sheet name="Zwischenwerte" sheetId="2" state="hidden" r:id="rId2"/>
    <sheet name="Charakter" sheetId="3" r:id="rId3"/>
    <sheet name="Charakter mit Hintergrundbild" sheetId="4" r:id="rId4"/>
    <sheet name="Magische Ausrüstung" sheetId="5" r:id="rId5"/>
  </sheets>
  <definedNames>
    <definedName name="Alter">'Eingabe'!$F$13</definedName>
    <definedName name="Aussehen_Mod">'Eingabe'!$L$55</definedName>
    <definedName name="Charisma_Mod">'Eingabe'!$L$54</definedName>
    <definedName name="_xlnm.Print_Area" localSheetId="2">'Charakter'!$A$1:$AN$202</definedName>
    <definedName name="_xlnm.Print_Area" localSheetId="0">'Eingabe'!$B$3:$AO$227</definedName>
    <definedName name="Fernkampf">'Eingabe'!$O$168</definedName>
    <definedName name="Fertigkeitenbonus">'Eingabe'!$W$149</definedName>
    <definedName name="FP_1">'Eingabe'!$O$25</definedName>
    <definedName name="FP_2">'Eingabe'!$O$26</definedName>
    <definedName name="FP_3">'Eingabe'!$O$27</definedName>
    <definedName name="FP_4">'Eingabe'!$O$28</definedName>
    <definedName name="Geschicklichkeit_Mod">'Eingabe'!$L$50</definedName>
    <definedName name="Geschlecht">'Eingabe'!$P$21</definedName>
    <definedName name="Gesinnung">'Eingabe'!#REF!</definedName>
    <definedName name="Gewandheit" localSheetId="2">'Charakter'!$G$23</definedName>
    <definedName name="Gewandheit" localSheetId="0">'Eingabe'!$I$50</definedName>
    <definedName name="Gewandheit">#REF!</definedName>
    <definedName name="Gewandheit_Mod" localSheetId="2">'Charakter'!$J$23</definedName>
    <definedName name="Gewicht">'Eingabe'!$F$14</definedName>
    <definedName name="Größe">'Eingabe'!#REF!</definedName>
    <definedName name="Grundbonus" localSheetId="2">'Charakter'!$AA$150</definedName>
    <definedName name="Grundbonus" localSheetId="0">'Eingabe'!$M$168</definedName>
    <definedName name="Grundbonus">#REF!</definedName>
    <definedName name="Herkunft">'Eingabe'!$P$21</definedName>
    <definedName name="Höhe">'Eingabe'!$F$15</definedName>
    <definedName name="Intelligenz_Mod">'Eingabe'!$L$52</definedName>
    <definedName name="Klassen_1">'Eingabe'!#REF!</definedName>
    <definedName name="Klassen_2">'Eingabe'!#REF!</definedName>
    <definedName name="Klassen_3">'Eingabe'!#REF!</definedName>
    <definedName name="Klassen_4">'Eingabe'!#REF!</definedName>
    <definedName name="Klassen_Merkmale">'Eingabe'!$B$37:$R$45</definedName>
    <definedName name="Klugheit" localSheetId="2">'Charakter'!$G$27</definedName>
    <definedName name="Klugheit" localSheetId="0">'Eingabe'!$I$52</definedName>
    <definedName name="Klugheit">#REF!</definedName>
    <definedName name="Klugheit_Mod" localSheetId="2">'Charakter'!$J$27</definedName>
    <definedName name="Konstitution" localSheetId="2">'Charakter'!$G$25</definedName>
    <definedName name="Konstitution" localSheetId="0">'Eingabe'!$I$51</definedName>
    <definedName name="Konstitution">#REF!</definedName>
    <definedName name="Konstitution_Mod" localSheetId="2">'Charakter'!$J$25</definedName>
    <definedName name="Konstitution_Mod" localSheetId="0">'Eingabe'!$L$51</definedName>
    <definedName name="Konstitution_Mod">#REF!</definedName>
    <definedName name="Körpergröße" localSheetId="2">'Charakter'!$AB$146</definedName>
    <definedName name="Körpergröße" localSheetId="0">'Eingabe'!$I$161</definedName>
    <definedName name="Körpergröße">#REF!</definedName>
    <definedName name="Laufen" localSheetId="2">'Charakter'!$AF$43</definedName>
    <definedName name="Laufen" localSheetId="0">'Eingabe'!$M$102</definedName>
    <definedName name="Laufen">#REF!</definedName>
    <definedName name="Nächste_Stufe" localSheetId="2">'Charakter'!$AI$6</definedName>
    <definedName name="Nächste_Stufe" localSheetId="0">'Eingabe'!$H$18</definedName>
    <definedName name="Nächste_Stufe">#REF!</definedName>
    <definedName name="Nahkampf">'Eingabe'!$O$169</definedName>
    <definedName name="Name">'Eingabe'!$F$4</definedName>
    <definedName name="OLE_LINK1" localSheetId="2">'Charakter'!#REF!</definedName>
    <definedName name="OLE_LINK1" localSheetId="0">'Eingabe'!#REF!</definedName>
    <definedName name="Rang">'Eingabe'!#REF!</definedName>
    <definedName name="Religion">'Eingabe'!$F$10</definedName>
    <definedName name="Reputation" localSheetId="2">'Charakter'!$N$37</definedName>
    <definedName name="Reputation" localSheetId="0">'Eingabe'!$H$66</definedName>
    <definedName name="Reputation">#REF!</definedName>
    <definedName name="RW_Reflexe">'Eingabe'!$C$60</definedName>
    <definedName name="RW_Willen">'Eingabe'!$C$62</definedName>
    <definedName name="RW_Zähigkeit">'Eingabe'!$C$58</definedName>
    <definedName name="Spezies">'Eingabe'!$F$8</definedName>
    <definedName name="Spieler">'Eingabe'!#REF!</definedName>
    <definedName name="Stärke" localSheetId="2">'Charakter'!$G$21</definedName>
    <definedName name="Stärke" localSheetId="0">'Eingabe'!$I$49</definedName>
    <definedName name="Stärke">#REF!</definedName>
    <definedName name="Stärke_Mod" localSheetId="2">'Charakter'!$J$21</definedName>
    <definedName name="Stärke_Mod" localSheetId="0">'Eingabe'!$L$49</definedName>
    <definedName name="Stärke_Mod">#REF!</definedName>
    <definedName name="Stufe_1">'Eingabe'!$K$19</definedName>
    <definedName name="Stufe_2">'Eingabe'!#REF!</definedName>
    <definedName name="Stufe_3">'Eingabe'!#REF!</definedName>
    <definedName name="Stufe_4">'Eingabe'!#REF!</definedName>
    <definedName name="Stufe_Total" localSheetId="2">'Charakter'!$F$3</definedName>
    <definedName name="Stufe_Total" localSheetId="0">'Eingabe'!$H$19</definedName>
    <definedName name="Stufe_Total">#REF!</definedName>
    <definedName name="Traglast" localSheetId="2">'Charakter'!$Y$41</definedName>
    <definedName name="Traglast" localSheetId="0">'Eingabe'!$F$100</definedName>
    <definedName name="Traglast">#REF!</definedName>
    <definedName name="TW_1">'Eingabe'!$L$25</definedName>
    <definedName name="TW_2">'Eingabe'!$L$26</definedName>
    <definedName name="TW_3">'Eingabe'!$L$27</definedName>
    <definedName name="TW_4">'Eingabe'!$L$28</definedName>
    <definedName name="Weisheit" localSheetId="2">'Charakter'!$G$29</definedName>
    <definedName name="Weisheit" localSheetId="0">'Eingabe'!$I$53</definedName>
    <definedName name="Weisheit">#REF!</definedName>
    <definedName name="Weisheit_Mod" localSheetId="2">'Charakter'!$J$29</definedName>
    <definedName name="Weisheit_Mod" localSheetId="0">'Eingabe'!$L$53</definedName>
    <definedName name="Weisheit_Mod">#REF!</definedName>
    <definedName name="Wundpunkte" localSheetId="2">'Charakter'!#REF!</definedName>
    <definedName name="Wundpunkte" localSheetId="0">'Eingabe'!#REF!</definedName>
    <definedName name="Wundpunkte">#REF!</definedName>
    <definedName name="XP" localSheetId="2">'Charakter'!$AI$4</definedName>
    <definedName name="XP" localSheetId="0">'Eingabe'!$C$18</definedName>
    <definedName name="XP">#REF!</definedName>
  </definedNames>
  <calcPr fullCalcOnLoad="1"/>
</workbook>
</file>

<file path=xl/comments1.xml><?xml version="1.0" encoding="utf-8"?>
<comments xmlns="http://schemas.openxmlformats.org/spreadsheetml/2006/main">
  <authors>
    <author>Phaidros</author>
    <author>SasKer</author>
  </authors>
  <commentList>
    <comment ref="F14" authorId="0">
      <text>
        <r>
          <rPr>
            <b/>
            <sz val="8"/>
            <rFont val="Tahoma"/>
            <family val="0"/>
          </rPr>
          <t>Phaidros:</t>
        </r>
        <r>
          <rPr>
            <sz val="8"/>
            <rFont val="Tahoma"/>
            <family val="0"/>
          </rPr>
          <t xml:space="preserve">
Rechts sind Zufallszahlen dafür.</t>
        </r>
      </text>
    </comment>
    <comment ref="F15" authorId="0">
      <text>
        <r>
          <rPr>
            <b/>
            <sz val="8"/>
            <rFont val="Tahoma"/>
            <family val="0"/>
          </rPr>
          <t>Phaidros:</t>
        </r>
        <r>
          <rPr>
            <sz val="8"/>
            <rFont val="Tahoma"/>
            <family val="0"/>
          </rPr>
          <t xml:space="preserve">
Rechts sind Zufallszahlen dafür.</t>
        </r>
      </text>
    </comment>
    <comment ref="J155" authorId="0">
      <text>
        <r>
          <rPr>
            <b/>
            <sz val="8"/>
            <rFont val="Tahoma"/>
            <family val="0"/>
          </rPr>
          <t>Phaidros:</t>
        </r>
        <r>
          <rPr>
            <sz val="8"/>
            <rFont val="Tahoma"/>
            <family val="0"/>
          </rPr>
          <t xml:space="preserve">
Hies früher Trefferpunkte</t>
        </r>
      </text>
    </comment>
    <comment ref="C87" authorId="1">
      <text>
        <r>
          <rPr>
            <b/>
            <sz val="8"/>
            <rFont val="Tahoma"/>
            <family val="0"/>
          </rPr>
          <t>SasKer:</t>
        </r>
        <r>
          <rPr>
            <sz val="8"/>
            <rFont val="Tahoma"/>
            <family val="0"/>
          </rPr>
          <t xml:space="preserve">
Siehe Unten</t>
        </r>
      </text>
    </comment>
    <comment ref="P109" authorId="1">
      <text>
        <r>
          <rPr>
            <b/>
            <sz val="8"/>
            <rFont val="Tahoma"/>
            <family val="0"/>
          </rPr>
          <t>SasKer:</t>
        </r>
        <r>
          <rPr>
            <sz val="8"/>
            <rFont val="Tahoma"/>
            <family val="0"/>
          </rPr>
          <t xml:space="preserve">
Hier die Ränge für die Cross-Class Fertigkeiten eingeben.
</t>
        </r>
      </text>
    </comment>
    <comment ref="D48" authorId="1">
      <text>
        <r>
          <rPr>
            <b/>
            <sz val="8"/>
            <rFont val="Tahoma"/>
            <family val="0"/>
          </rPr>
          <t>SasKer:</t>
        </r>
        <r>
          <rPr>
            <sz val="8"/>
            <rFont val="Tahoma"/>
            <family val="0"/>
          </rPr>
          <t xml:space="preserve">
Alternativ können auch 28 Punkte verteilt werden. Aussehen wird gewürfelt.</t>
        </r>
      </text>
    </comment>
    <comment ref="X131" authorId="1">
      <text>
        <r>
          <rPr>
            <b/>
            <sz val="8"/>
            <rFont val="Tahoma"/>
            <family val="0"/>
          </rPr>
          <t>SasKer:</t>
        </r>
        <r>
          <rPr>
            <sz val="8"/>
            <rFont val="Tahoma"/>
            <family val="0"/>
          </rPr>
          <t xml:space="preserve">
• Arkanes (ancient mysteries, magic traditions, arcane symbols, cryptic phrases, constructs, dragons, magical beasts)
• Architektur and engineering (buildings, aqueducts, bridges, fortifications)
• Gewölbe (aberrations, caverns, oozes, spelunking)
• Geograpie (lands, terrain, climate, people)
• Geschichte (royalty, wars, colonies, migrations, founding of cities)
• Lokal (legends, personalities, inhabitants, laws, customs, traditions, humanoids)
• Natur (animals, fey, giants, monstrous humanoids, plants, seasons and cycles, weather, vermin)
• Adel (lineages, heraldry, family trees, mottoes, personalities)
• Religion (gods and goddesses, mythic history, ecclesiastic tradition, holy symbols, undead)
• Ebenen (the Inner Planes, the Outer Planes, the Astral Plane, the Ethereal Plane, outsiders, elementals, magic related to the planes)
</t>
        </r>
      </text>
    </comment>
    <comment ref="Q10" authorId="1">
      <text>
        <r>
          <rPr>
            <b/>
            <sz val="8"/>
            <rFont val="Tahoma"/>
            <family val="0"/>
          </rPr>
          <t>SasKer:</t>
        </r>
        <r>
          <rPr>
            <sz val="8"/>
            <rFont val="Tahoma"/>
            <family val="0"/>
          </rPr>
          <t xml:space="preserve">
Rote Ecken enthalten Infos</t>
        </r>
      </text>
    </comment>
  </commentList>
</comments>
</file>

<file path=xl/sharedStrings.xml><?xml version="1.0" encoding="utf-8"?>
<sst xmlns="http://schemas.openxmlformats.org/spreadsheetml/2006/main" count="1962" uniqueCount="687">
  <si>
    <t>siehe Rechts</t>
  </si>
  <si>
    <t>BESITZTÜMER</t>
  </si>
  <si>
    <t>A master of divine magic and a capable warrior as well.</t>
  </si>
  <si>
    <t>One who draws energy from the natural world to cast divine spells and gain strange magical powers.</t>
  </si>
  <si>
    <t>CD</t>
  </si>
  <si>
    <t>Dunkelblattbrustplatte</t>
  </si>
  <si>
    <t>Dunkelblattbänderpanzer</t>
  </si>
  <si>
    <t>Hieb</t>
  </si>
  <si>
    <t>Stich/Hieb</t>
  </si>
  <si>
    <t>Wucht</t>
  </si>
  <si>
    <t>Stich/Wucht</t>
  </si>
  <si>
    <t>ECS</t>
  </si>
  <si>
    <t>Artificers are perhaps the ultimate magical dabblers.</t>
  </si>
  <si>
    <t>A ferocious warrior who uses fury and instinct to bring down foes.</t>
  </si>
  <si>
    <t>A performer whose music works magic -- a wanderer, a tale-teller, and a jack-of-all trades.</t>
  </si>
  <si>
    <t>UA</t>
  </si>
  <si>
    <t>You channel the soul energy of magical beasts to make your soulmelds and claim them as your totems to acquire a share in their power.</t>
  </si>
  <si>
    <t>CAr</t>
  </si>
  <si>
    <t>A supernatural character whose sinister powers are inborn abilities, not spells.</t>
  </si>
  <si>
    <t>Magische Geg. nutzen</t>
  </si>
  <si>
    <t>Klug.</t>
  </si>
  <si>
    <t>Weis.</t>
  </si>
  <si>
    <t>Heilen</t>
  </si>
  <si>
    <t>Aus.</t>
  </si>
  <si>
    <t>Stä.</t>
  </si>
  <si>
    <t>Kon.</t>
  </si>
  <si>
    <t>Fähigkeit</t>
  </si>
  <si>
    <t>¨</t>
  </si>
  <si>
    <t>Nächste Stufe</t>
  </si>
  <si>
    <t>TOTAL:</t>
  </si>
  <si>
    <t>T:</t>
  </si>
  <si>
    <t>AUSSEHEN</t>
  </si>
  <si>
    <t>Religion:</t>
  </si>
  <si>
    <t>Flachmann 0,5l</t>
  </si>
  <si>
    <t>Wasserschlauch 2l</t>
  </si>
  <si>
    <t>Fläschchen 0,02l</t>
  </si>
  <si>
    <t>Behältnisse</t>
  </si>
  <si>
    <t>Rucksack 30l</t>
  </si>
  <si>
    <t>Fass 300l</t>
  </si>
  <si>
    <t>Korb 60l</t>
  </si>
  <si>
    <t>Eimer 30l</t>
  </si>
  <si>
    <t>Truhe 60l</t>
  </si>
  <si>
    <t>Sack 30l</t>
  </si>
  <si>
    <t>Gürteltasche 5l</t>
  </si>
  <si>
    <t>Satteltaschen 150l</t>
  </si>
  <si>
    <t>Komponententasche 3l</t>
  </si>
  <si>
    <t>A militant spellcaster whose training focuses on battlefield magic.</t>
  </si>
  <si>
    <t>A passionate, reckless talent who wields uncontrolled psionic power.</t>
  </si>
  <si>
    <t>A potent spellcaster schooled in the arcane arts.</t>
  </si>
  <si>
    <t>Sprüche</t>
  </si>
  <si>
    <t>Stecken, Stäbe, Zepter</t>
  </si>
  <si>
    <t>Bonusbewegung</t>
  </si>
  <si>
    <t>Fertigkeiten Unterhalten</t>
  </si>
  <si>
    <t>Schauspielern</t>
  </si>
  <si>
    <t>Comedy</t>
  </si>
  <si>
    <t>Tanzen</t>
  </si>
  <si>
    <t>Rhetorik</t>
  </si>
  <si>
    <t>Perkussionsinstrumente</t>
  </si>
  <si>
    <t>Streichinstrumente</t>
  </si>
  <si>
    <t>Blasinstrumente</t>
  </si>
  <si>
    <t>Singen</t>
  </si>
  <si>
    <t>Tasteninstrumente</t>
  </si>
  <si>
    <t>Fertigkeiten Wissen</t>
  </si>
  <si>
    <t>Synergie</t>
  </si>
  <si>
    <t>Fähig.</t>
  </si>
  <si>
    <t>Psionic artificers are similar to artificers, but they craft psionic items instead of magic items.</t>
  </si>
  <si>
    <t>A warrior who combines combat skill with psionic powers.</t>
  </si>
  <si>
    <t>A cunning, skilled warrior of the wilderness.</t>
  </si>
  <si>
    <t>A tricky, skillful scout and spy who wins the battle by stealth rather than brute force.</t>
  </si>
  <si>
    <t>CAd</t>
  </si>
  <si>
    <t>Gnom</t>
  </si>
  <si>
    <t>Spezie</t>
  </si>
  <si>
    <t>+1 Fertigkeitspunkt,  +1 Talent</t>
  </si>
  <si>
    <t xml:space="preserve">Total  </t>
  </si>
  <si>
    <t>MUNITION</t>
  </si>
  <si>
    <t>Action Punkte</t>
  </si>
  <si>
    <t>Gold</t>
  </si>
  <si>
    <t>Silber</t>
  </si>
  <si>
    <t xml:space="preserve"> FERTIGKEITEN</t>
  </si>
  <si>
    <t>Konzentration</t>
  </si>
  <si>
    <t>Schrift entziffern</t>
  </si>
  <si>
    <t>Schlösser öffnen</t>
  </si>
  <si>
    <t>Spruchwissen</t>
  </si>
  <si>
    <t>Seilkunst</t>
  </si>
  <si>
    <t>Arkanes</t>
  </si>
  <si>
    <t>Gewölbe</t>
  </si>
  <si>
    <t>Lokal</t>
  </si>
  <si>
    <t>Natur</t>
  </si>
  <si>
    <t>Adel</t>
  </si>
  <si>
    <t>Religion</t>
  </si>
  <si>
    <t>Ebenen</t>
  </si>
  <si>
    <t>Psionik</t>
  </si>
  <si>
    <t>Selbsthypnose</t>
  </si>
  <si>
    <t>Psi Wissen</t>
  </si>
  <si>
    <t>Reputation</t>
  </si>
  <si>
    <t>Name</t>
  </si>
  <si>
    <t>Weste/Hemd</t>
  </si>
  <si>
    <t>Ringe</t>
  </si>
  <si>
    <t>Beinkleid</t>
  </si>
  <si>
    <t>MERKMALE DER KLASSEN</t>
  </si>
  <si>
    <t>Platin</t>
  </si>
  <si>
    <t>Kupfer</t>
  </si>
  <si>
    <t>Entfesselungskünstler</t>
  </si>
  <si>
    <t>Mechanik ausschalten</t>
  </si>
  <si>
    <t>Motivation beurteilen</t>
  </si>
  <si>
    <t>Rennen (x3)</t>
  </si>
  <si>
    <t>Rennen (x4)</t>
  </si>
  <si>
    <t>Eilen</t>
  </si>
  <si>
    <t>Gehen</t>
  </si>
  <si>
    <t>km/h</t>
  </si>
  <si>
    <t>Rang</t>
  </si>
  <si>
    <t>Gesinnung:</t>
  </si>
  <si>
    <t>KAMPF &amp; AUSRÜSTUNG</t>
  </si>
  <si>
    <t>Größe</t>
  </si>
  <si>
    <t>Divers</t>
  </si>
  <si>
    <t>Schild</t>
  </si>
  <si>
    <t>1.Attacke</t>
  </si>
  <si>
    <t>2.Attacke</t>
  </si>
  <si>
    <t>4.Attacke</t>
  </si>
  <si>
    <t>3.Attacke</t>
  </si>
  <si>
    <t>Grundbonus</t>
  </si>
  <si>
    <t>Kritischer</t>
  </si>
  <si>
    <t>Reichweite</t>
  </si>
  <si>
    <t>Gewicht</t>
  </si>
  <si>
    <t>Nachladezeit</t>
  </si>
  <si>
    <t>Malus</t>
  </si>
  <si>
    <t>Spruchfehlschlag</t>
  </si>
  <si>
    <t>Psionische Geg. nutzen</t>
  </si>
  <si>
    <t>+2 Konstitution,  +2 Geschicklichkeit,  -2 Charisma,  -2 Stärke,  Dämmersicht,  Dunkelsicht, Waffenfertigkeit: Gnomenhammer,   +1 gegen Goblins und Kobolde,  +4 Ausweichsbonus gegen Riesen,  +2 auf Lauschen und Entdecken, +4 auf Verstecken und Schleichen, Spruchähnliche Fähigkeit 1/Tag:  Stille (selbst), ab Charisma 10: Geistergeräusch, Magische Hand, Botschaft,  Favorisierte Klasse: Schurke</t>
  </si>
  <si>
    <t>+2 Konstitution,  -2 Stärke,  Dämmersicht,  Waffenfertigkeit: Gnomenhammer,  +2 RW gegen Illusionen,  +1 RW gegen Illusionen von Gnomen,  +1 gegen Goblins und Kobolde,  +4 Ausweichsbonus gegen Riesen,  +2 auf Lauschen und Handwerk (Alchemie), Spruchähnliche Fähigkeit 1/Tag:  Mit Tieren sprechen (Grabende Tiere, 1 Minute), ab Charisma 10: Tanzende Lichter, Geistergerräusche, Zaubertrick,  Favorisierte Klasse: Barde</t>
  </si>
  <si>
    <t>+2 Konstitution,  -2 Weisheit,  -2 Charisma,  Unterart Lebendes Konstrukt: Immun gegen Gift, Schlaf, Lähmung, Krankheit, Übelkeit, Erschöpfung, Entkräftung, Lebenskraftentzug und Kränkelnd,  Heilungen haben halbierte Wirkung, Benötigt keine Nahrung und keine Luft,  Körperpanzer +2 RS, Kleines Bollwerk 25%,  Faust als Waffe,  Favorisierte Klasse: Kämpfer</t>
  </si>
  <si>
    <t>+2 Geschicklichkeit,  -2 intelligenz,  -2 Charisma,  Wandeln,  Dämmersicht,  +2 auf Balancieren, Klettern, Springen,  Favorisierte Klasse: Waldläufer</t>
  </si>
  <si>
    <t>+2 Konstitution,  -2 Charisma,  Dunkelsicht 18m,  Belastbar,  Steinwissen,  Waffenfertigkeit: Urgrosh,  Stabil,  +2 RW gegen Gift, Sprüche und Sprucheffekte,  +1 Angriff gegen Goblins &amp; Kobolde,  +4 Ausweichsbonus gegen Riesen,  +2 auf Abschätzen und Handwerk bei Steinen und Metallen,  Favorisierte Klasse: Kämpfer</t>
  </si>
  <si>
    <t>INTELLIGENZ</t>
  </si>
  <si>
    <t xml:space="preserve">Namen findet man unter: </t>
  </si>
  <si>
    <t>STUFE</t>
  </si>
  <si>
    <t>Hintergrundgeschichte benötigt?</t>
  </si>
  <si>
    <t>Kleine Hilfe nötig?</t>
  </si>
  <si>
    <t>Charakter Generator</t>
  </si>
  <si>
    <t>Elfwood</t>
  </si>
  <si>
    <t>NPC Hintergrund</t>
  </si>
  <si>
    <t>Namensgenerator</t>
  </si>
  <si>
    <t>Die komplette Liste der Talente</t>
  </si>
  <si>
    <t>Feats</t>
  </si>
  <si>
    <t>Unsicher?</t>
  </si>
  <si>
    <t>Liste aller Sprüche</t>
  </si>
  <si>
    <t>Welche Prestigeklassen gibt es eigentlich?</t>
  </si>
  <si>
    <t>Komplette Liste</t>
  </si>
  <si>
    <t>Wo war nochmal mein Regelbuch?</t>
  </si>
  <si>
    <t>Komplette Regeln Online</t>
  </si>
  <si>
    <t>Frank</t>
  </si>
  <si>
    <t>Gisi</t>
  </si>
  <si>
    <t>Mag. Geg. nutzen</t>
  </si>
  <si>
    <t>Psion. Geg. nutzen</t>
  </si>
  <si>
    <t>Letzte Änderung:</t>
  </si>
  <si>
    <t>Stich</t>
  </si>
  <si>
    <t>Waffen</t>
  </si>
  <si>
    <t>Panzerhandschuh</t>
  </si>
  <si>
    <t>Dolch</t>
  </si>
  <si>
    <t>Stoßdolch</t>
  </si>
  <si>
    <t>Streitkolben, leicht</t>
  </si>
  <si>
    <t>Sichel</t>
  </si>
  <si>
    <t>Keule</t>
  </si>
  <si>
    <t>Streitkolben, schwer</t>
  </si>
  <si>
    <t>Morgenstern</t>
  </si>
  <si>
    <t>Speer, Kurz</t>
  </si>
  <si>
    <t>Speer, Lang</t>
  </si>
  <si>
    <t>Kampfstab</t>
  </si>
  <si>
    <t>Speer</t>
  </si>
  <si>
    <t>Armbrust, schwer</t>
  </si>
  <si>
    <t>Armbrust, leicht</t>
  </si>
  <si>
    <t>Wurfpfeil</t>
  </si>
  <si>
    <t>Schleuder</t>
  </si>
  <si>
    <t>Hammer, leicht</t>
  </si>
  <si>
    <t>Kukri</t>
  </si>
  <si>
    <t>Sappe</t>
  </si>
  <si>
    <t>Schild, leicht</t>
  </si>
  <si>
    <t>Rüstung, gespornt</t>
  </si>
  <si>
    <t>Handschuh, gespornt</t>
  </si>
  <si>
    <t>Schwert, Kurz</t>
  </si>
  <si>
    <t>Schwert, Lang</t>
  </si>
  <si>
    <t>Rapier</t>
  </si>
  <si>
    <t>Säbel</t>
  </si>
  <si>
    <t>Schild, schwer</t>
  </si>
  <si>
    <t>Schild, gespornt, leicht</t>
  </si>
  <si>
    <t>Schild, gespornt, schwer</t>
  </si>
  <si>
    <t>Dreizack</t>
  </si>
  <si>
    <t>Axt, Streit</t>
  </si>
  <si>
    <t>Keule, Streit</t>
  </si>
  <si>
    <t>Glasflasche 0,75l</t>
  </si>
  <si>
    <t>Tonkrug mit Stopfen 3,5l</t>
  </si>
  <si>
    <t>Krug</t>
  </si>
  <si>
    <t>Eiserner Topf 3,5l</t>
  </si>
  <si>
    <t>Becher 0,5l</t>
  </si>
  <si>
    <t>GESCHICK</t>
  </si>
  <si>
    <t>Max Geschicklichkeit</t>
  </si>
  <si>
    <t>+2 Konstitution,  -2 Geschicklichkeit,  Rasse: Drache,  Alter,  +2 Ausweichsbonus gegen Drachen,  Immun gegen Furcht vor Drachen,  Aspekt des Drachen,  Favorisierte Klasse: Kämpfer</t>
  </si>
  <si>
    <t>Hexer</t>
  </si>
  <si>
    <t>Leuchtenede Siegel,  Glyphische Resonanz,  Siegel der Macht, Illumische Wörter,  Letzte Äüßerung,  +2 RW gegen Schattensprüche,  Sprache ist immer eine Klassenfertigkeit, Lesen,  Favorisierte Klasse: Jede</t>
  </si>
  <si>
    <t>Fee,  Dämmersicht,  Immun gegen Schlaf,  +2 RW gegen Bezauberung,  +2 auf Tierbändigen und Überleben,  Empfindlich gegen Kaltes Eisen,  Manifestation der Naturgewalt,  Favorisierte Klasse: Druide</t>
  </si>
  <si>
    <t>Kalashtar</t>
  </si>
  <si>
    <t>Kriegsgeschmiedeter</t>
  </si>
  <si>
    <t>Wandler</t>
  </si>
  <si>
    <t>Wechselbalg</t>
  </si>
  <si>
    <t>Drachengeborener</t>
  </si>
  <si>
    <t>Spruchschuppe</t>
  </si>
  <si>
    <t>Chaos Gnom</t>
  </si>
  <si>
    <t>Traum Zwerg</t>
  </si>
  <si>
    <t>Flüster Gnom</t>
  </si>
  <si>
    <t>Illumina</t>
  </si>
  <si>
    <t>Killoreen</t>
  </si>
  <si>
    <t>Zufallszahlen</t>
  </si>
  <si>
    <t>Elan</t>
  </si>
  <si>
    <t>Xeph</t>
  </si>
  <si>
    <t>Maenad</t>
  </si>
  <si>
    <t>Azurin</t>
  </si>
  <si>
    <t>+2 Charisma,  -2 Konstitution,  Dämmersicht,  Drache,  Adrenalinstoß, Favorisierte Klasse: Hexer</t>
  </si>
  <si>
    <t>+2 Psion Punkte,  Psi ähnliche Fertigkeit 1/Tag: Energiestrahl,  Ausbruch,  Favorisierte Klasse: Wilder</t>
  </si>
  <si>
    <t>+1 Talent,  +1 Essentia, Favorisierte Klasse: Seelengeboren</t>
  </si>
  <si>
    <t>Stufe</t>
  </si>
  <si>
    <t>Zauber sprechen</t>
  </si>
  <si>
    <t>DC</t>
  </si>
  <si>
    <t>Anzahl</t>
  </si>
  <si>
    <t>Spruch</t>
  </si>
  <si>
    <t>Magische Gegenstände</t>
  </si>
  <si>
    <t>Tränke</t>
  </si>
  <si>
    <t>Wirkung</t>
  </si>
  <si>
    <t>Aussehen</t>
  </si>
  <si>
    <t>Spruchrollen</t>
  </si>
  <si>
    <t>Ladungen</t>
  </si>
  <si>
    <t>A champion of justice and destroyer of evil, protected and strengthened by an array of divine powers.</t>
  </si>
  <si>
    <t>XPH</t>
  </si>
  <si>
    <t>A seeker after psionic secrets; a master of the mind and the thoughts of others.</t>
  </si>
  <si>
    <t>MoE</t>
  </si>
  <si>
    <t>+2 Geschicklichkeit,  -2 Konstitution,  Immun gegen magischen Schlaf,  +2 RW gegen Verzauberung,  Waffenfertigkeit: Langschwert, Rapier, Langbogen, Kurzbogen,  +2 auf Suchen, Entdecken und Lauschen,  Geheimtüren entdecken,  Dämmersicht,  Favorisierte Klasse: Magier</t>
  </si>
  <si>
    <t>+2 Geschicklichkeit,  -2 Stärke,  +2 auf Springen, Klettern, Lauschen und Schleichen,  +1 Rassenbonus auf RW, +2 Moralbonus gegen Furcht,  +1 Angriffsbonus mit Wurfwaffen und Schleudern, Favorisierte Klasse: Schurke</t>
  </si>
  <si>
    <t>+2 Geschicklichkeit,  -2 Stärke,  Reptil,  Rassenwissen,  +2 auf Diplomatie und Bluffen,  Einander unterstützen,  Favorisierte Klasse:Leibhaftiger</t>
  </si>
  <si>
    <t>+2 Stärke,  -2 Geschicklichkeit,  Reptil, Körperwaffen,  +2 auf Einschüchtern und Klettern, Favorisierte Klasse: Leibhaftiger</t>
  </si>
  <si>
    <t>+2 Konstitution,  -2 Geschicklichkeit,  Dunkelsicht 18m,  Belastbar,  Steinwissen,  Waffenfertigkeit: Urgrosh,  Stabil,  +2 auf Diplomatie bei Erdwesen, Traumsicht,  +1 Zauberstufe bei Weissagung und Erdsprüchen,  Favorisierte Klasse: Druide</t>
  </si>
  <si>
    <t>+2 Geschicklichkeit,  -2 Stärke,  Dunkelsicht 36m,  +1 RW gegen Magie, +1 Psion Punkt,  Geschwindigkeitsausbruch,  Favorisierte Klasse: Seelenklinge</t>
  </si>
  <si>
    <t>Ges.</t>
  </si>
  <si>
    <t>CHARISMA</t>
  </si>
  <si>
    <t>+2 Geschicklichkeit,  +2 Konstitution,  +2 Charisma,  -2 Stärke,  Dämmersicht,  Waffenfertigkeit: Gnomenhammer,  +1 Zauberstufe bei Chaossprüchen, +4 Ausweichsbonus gegen Riesen,  +2 auf Lauschen, Glück des Chaos,  Immun gegen Verwirrung,  Spruchfertigkeit 1/Tag: Entropisches Schild, ab Charisma 10: Benommenheit, Aufblitzen, Zaubertrick,  Favorisierte Klasse: Hexer</t>
  </si>
  <si>
    <t>-2 Charisma,  Aberration,  +2 Psion Punkte,  Rsistenz durch Psion punkte,  Widerstandskraft,  Erneuerung,  Favorisierte Klasse: Psion</t>
  </si>
  <si>
    <t>weiblich</t>
  </si>
  <si>
    <t>K</t>
  </si>
  <si>
    <t>M</t>
  </si>
  <si>
    <t>Spielername</t>
  </si>
  <si>
    <t>Anna</t>
  </si>
  <si>
    <t>Dan</t>
  </si>
  <si>
    <t>Ulf</t>
  </si>
  <si>
    <t>Friedrich</t>
  </si>
  <si>
    <t>Nils</t>
  </si>
  <si>
    <t>Noch verbleibende Punkte</t>
  </si>
  <si>
    <t>Gesamtzahl der Ränge</t>
  </si>
  <si>
    <t xml:space="preserve">Fertigkeitenbonus </t>
  </si>
  <si>
    <t>CC</t>
  </si>
  <si>
    <t>Kol Korran</t>
  </si>
  <si>
    <t>Olladra</t>
  </si>
  <si>
    <t>Onatar</t>
  </si>
  <si>
    <t>Die Furie</t>
  </si>
  <si>
    <t>Der Raffer</t>
  </si>
  <si>
    <t>Der Reisende</t>
  </si>
  <si>
    <t>Der Schatten</t>
  </si>
  <si>
    <t>Der Spötter</t>
  </si>
  <si>
    <t>Der Verschlinger</t>
  </si>
  <si>
    <t>Das Blut der Vol</t>
  </si>
  <si>
    <t>Drache der Tiefe</t>
  </si>
  <si>
    <t>Pfad des Lichts</t>
  </si>
  <si>
    <t>Todloser Hofstaat</t>
  </si>
  <si>
    <t>Die Göttliche Heerschar</t>
  </si>
  <si>
    <t>Die Dunklen Sechs</t>
  </si>
  <si>
    <t>Zauberkunde</t>
  </si>
  <si>
    <t>Herkunft</t>
  </si>
  <si>
    <t>Adar</t>
  </si>
  <si>
    <t>Aerenal</t>
  </si>
  <si>
    <t>Argonnessen</t>
  </si>
  <si>
    <t>Aundair</t>
  </si>
  <si>
    <t>Breland</t>
  </si>
  <si>
    <t>Cyre</t>
  </si>
  <si>
    <t>Darguun</t>
  </si>
  <si>
    <t>Dämonenöde</t>
  </si>
  <si>
    <t>Droaam</t>
  </si>
  <si>
    <t>Eldeenreich</t>
  </si>
  <si>
    <t>Festen von Mror</t>
  </si>
  <si>
    <t>Karrnath</t>
  </si>
  <si>
    <t>Klageland</t>
  </si>
  <si>
    <t>Q'barra</t>
  </si>
  <si>
    <t>Riedra</t>
  </si>
  <si>
    <t>Schattenmarschen</t>
  </si>
  <si>
    <t>Talenta-Ebene</t>
  </si>
  <si>
    <t>Thrane</t>
  </si>
  <si>
    <t>Valenar</t>
  </si>
  <si>
    <t>Zilargo</t>
  </si>
  <si>
    <t>Herkunft:</t>
  </si>
  <si>
    <t xml:space="preserve">Herkunft: </t>
  </si>
  <si>
    <t>Fürstentümer von Lhazaar</t>
  </si>
  <si>
    <t>Unbewaffnet, Kriegsgeschmiedet</t>
  </si>
  <si>
    <t>Fangzähne, Wandler</t>
  </si>
  <si>
    <t>Klauen, Wandler</t>
  </si>
  <si>
    <t>Sharrash</t>
  </si>
  <si>
    <t>Tangat</t>
  </si>
  <si>
    <t>Doppelsäbel</t>
  </si>
  <si>
    <t>Bumerang, Talentar</t>
  </si>
  <si>
    <t>Bumerang, Xen'drik</t>
  </si>
  <si>
    <t>1w6/1W6</t>
  </si>
  <si>
    <t>Webblattrüstung</t>
  </si>
  <si>
    <t>Attributswerte 3h6</t>
  </si>
  <si>
    <t>Magische Ausrüstung</t>
  </si>
  <si>
    <t>Favored souls cast divine spells by means of an innate connection rather than through laborious training and prayer, so their divine connection is natural rather than learned.</t>
  </si>
  <si>
    <t>A warrior with exceptional combat capability and unequaled skill with weapons.</t>
  </si>
  <si>
    <t>CW</t>
  </si>
  <si>
    <t>Combining the dynamic powers of martial prowess and arcane might, the hexblade presents a deadly challenge to opponents unused to such a foe.</t>
  </si>
  <si>
    <t>MoI</t>
  </si>
  <si>
    <t>A scout has some training in weapons and a unique combat style that favors fast movement and devastating attacks.</t>
  </si>
  <si>
    <t>A spellcaster with inborn magical ability.</t>
  </si>
  <si>
    <t>As a soulborn, you use incarnum to enhance your natural combat ability.</t>
  </si>
  <si>
    <t>A warrior who fights with an idealized blade of personal mental energy.</t>
  </si>
  <si>
    <t>Each variant specialized class gives up one of the standard specialist's class abilities in exchange for a new ability unique to the variant specialist.</t>
  </si>
  <si>
    <t>Spellthieves use skill and arcane magic to drain the abilities of their opponents and turn their foes' own powers against them.</t>
  </si>
  <si>
    <t>The swashbuckler embodies the concepts of daring and panache.</t>
  </si>
  <si>
    <t>Beschlagenes Leder</t>
  </si>
  <si>
    <t>Größe:</t>
  </si>
  <si>
    <t>Höhe:</t>
  </si>
  <si>
    <t>Gewicht:</t>
  </si>
  <si>
    <t xml:space="preserve">Name: </t>
  </si>
  <si>
    <t>Spieler:</t>
  </si>
  <si>
    <t>Alter:</t>
  </si>
  <si>
    <t>cm</t>
  </si>
  <si>
    <t>kg</t>
  </si>
  <si>
    <t>KLASSEN</t>
  </si>
  <si>
    <t>Erfahrung</t>
  </si>
  <si>
    <t>FÄHIGKEITEN</t>
  </si>
  <si>
    <t>STÄRKE</t>
  </si>
  <si>
    <t>WEISHEIT</t>
  </si>
  <si>
    <t>KONSTITUTION</t>
  </si>
  <si>
    <t>Mod</t>
  </si>
  <si>
    <t>Temp</t>
  </si>
  <si>
    <t>RETTUNGSWÜRFE</t>
  </si>
  <si>
    <t>Reflexe</t>
  </si>
  <si>
    <t>Zähigkeit</t>
  </si>
  <si>
    <t>Grund</t>
  </si>
  <si>
    <t xml:space="preserve">Temp </t>
  </si>
  <si>
    <t>Willen</t>
  </si>
  <si>
    <t>=</t>
  </si>
  <si>
    <t>+</t>
  </si>
  <si>
    <t>VERSCHIEDENES</t>
  </si>
  <si>
    <t>Max. Fertigkeitenrang</t>
  </si>
  <si>
    <t>/</t>
  </si>
  <si>
    <t>LEBENSKRAFT</t>
  </si>
  <si>
    <t>MERKMALE DER SPEZIES</t>
  </si>
  <si>
    <t>Spezies:</t>
  </si>
  <si>
    <t>FP</t>
  </si>
  <si>
    <t>SR</t>
  </si>
  <si>
    <t>Tartsche</t>
  </si>
  <si>
    <t>Leichtes Holzschild</t>
  </si>
  <si>
    <t>Leichtes Metallschild</t>
  </si>
  <si>
    <t>Schweres Holzschild</t>
  </si>
  <si>
    <t>Schweres Metallschild</t>
  </si>
  <si>
    <t>Turmschild</t>
  </si>
  <si>
    <t>Incarnum is a tool you can use to manipulate the physical manifestations of moral and ethical forces and wield them in righteous pursuit of an ideal.</t>
  </si>
  <si>
    <t>A martial artist whose unarmed strikes hit fast and hard -- a master of exotic powers.</t>
  </si>
  <si>
    <t>Psionischekunde</t>
  </si>
  <si>
    <t>Element Wasser</t>
  </si>
  <si>
    <t>Adal (Elfisch)</t>
  </si>
  <si>
    <t>Argonnisch (Allgemein)</t>
  </si>
  <si>
    <t>Argonessen/Seren</t>
  </si>
  <si>
    <t>Rechtschaffene Ebene</t>
  </si>
  <si>
    <t>Daani (Daani)</t>
  </si>
  <si>
    <t>Aberrationen</t>
  </si>
  <si>
    <t>Daelkyri (Daelkyri)</t>
  </si>
  <si>
    <t>Energie Positiv</t>
  </si>
  <si>
    <t>Iri (Drakonisch)</t>
  </si>
  <si>
    <t>Chaotische Ebene</t>
  </si>
  <si>
    <t>Kythricisch (Daani)</t>
  </si>
  <si>
    <t>Mabrani (Drakonisch)</t>
  </si>
  <si>
    <t>Schatten</t>
  </si>
  <si>
    <t>Quori (Quori)</t>
  </si>
  <si>
    <t>Kalashtar, Quori</t>
  </si>
  <si>
    <t>Riedranisch (Allgemein)</t>
  </si>
  <si>
    <t>Unterschicht Sarlonas</t>
  </si>
  <si>
    <t>Risiani (Zwergisch)</t>
  </si>
  <si>
    <t>Eiskreaturen</t>
  </si>
  <si>
    <t>Syrana (Celestisch)</t>
  </si>
  <si>
    <t>Engel</t>
  </si>
  <si>
    <t>+2 RW gegen Geistesbeeinflussung, Besessenheit,  +2 auf Bluffen, Diplomatie, Einschüchtern und Verkleiden als Mensch,  Immun gegen Traumzauber, +1 Psi Punkt,  Psikraft: Gedankenverbindung 1/Tag, Favorisierte Klasse: Psioniker</t>
  </si>
  <si>
    <t>+2 RW gegen Schlaf und Bezaubern,  +2 auf Bluffen, Einschüchtern und Motivation erkennen,  Sprache ist immer Klassenfertigkeit, Schwacher Gestaltwandel,  Favorisierte Klasse: Schurke</t>
  </si>
  <si>
    <t>Höhe</t>
  </si>
  <si>
    <t>Traumzwerg</t>
  </si>
  <si>
    <t>Zufallswert</t>
  </si>
  <si>
    <t>Flegel, schwer</t>
  </si>
  <si>
    <t>Schwert, Zweihänder</t>
  </si>
  <si>
    <t>Guisarme</t>
  </si>
  <si>
    <t>Lanze</t>
  </si>
  <si>
    <t>Ranseur</t>
  </si>
  <si>
    <t>Sense</t>
  </si>
  <si>
    <t>Bogen, Lang</t>
  </si>
  <si>
    <t>Bogen, Kurz</t>
  </si>
  <si>
    <t>Bogen, Kurz, Komposit</t>
  </si>
  <si>
    <t>Bogen, Lang, Komposit</t>
  </si>
  <si>
    <t>Kama</t>
  </si>
  <si>
    <t>Nunchaku</t>
  </si>
  <si>
    <t>Sai</t>
  </si>
  <si>
    <t>Siangham</t>
  </si>
  <si>
    <t>Schwert, Bastard</t>
  </si>
  <si>
    <t>Peitsche</t>
  </si>
  <si>
    <t>Axt, Doppel, Ork</t>
  </si>
  <si>
    <t>Kette, gespornt</t>
  </si>
  <si>
    <t>Hammer, Haken, Gnom</t>
  </si>
  <si>
    <t>Schwert, Doppel</t>
  </si>
  <si>
    <t>Ugrosh, Zwerg</t>
  </si>
  <si>
    <t>Bola</t>
  </si>
  <si>
    <t>Armbrust, Hand</t>
  </si>
  <si>
    <t>Armbrust, schwer, Repetier</t>
  </si>
  <si>
    <t>Armbrust, leicht, Repetier</t>
  </si>
  <si>
    <t>Netz</t>
  </si>
  <si>
    <t>Shuriken</t>
  </si>
  <si>
    <t>1W2</t>
  </si>
  <si>
    <t>1W3</t>
  </si>
  <si>
    <t>1W4</t>
  </si>
  <si>
    <t>1W6</t>
  </si>
  <si>
    <t>1W4/1W4</t>
  </si>
  <si>
    <t>1W8</t>
  </si>
  <si>
    <t>1W10</t>
  </si>
  <si>
    <t>1W6/1W6</t>
  </si>
  <si>
    <t>1W6/1W4</t>
  </si>
  <si>
    <t>Kein</t>
  </si>
  <si>
    <t>2W4</t>
  </si>
  <si>
    <t>1W12</t>
  </si>
  <si>
    <t>2W6</t>
  </si>
  <si>
    <t>1W8/1W8</t>
  </si>
  <si>
    <t>1W8/1W6</t>
  </si>
  <si>
    <t>Hellebarde</t>
  </si>
  <si>
    <t>1w10</t>
  </si>
  <si>
    <t>Keine</t>
  </si>
  <si>
    <t>Sch K</t>
  </si>
  <si>
    <t>Sch M</t>
  </si>
  <si>
    <t>Krit</t>
  </si>
  <si>
    <t>RW</t>
  </si>
  <si>
    <t>Gew</t>
  </si>
  <si>
    <t>Speziell</t>
  </si>
  <si>
    <t>Speer, Wurf</t>
  </si>
  <si>
    <t>Schadenbonus</t>
  </si>
  <si>
    <t>Munition</t>
  </si>
  <si>
    <t>Bolzen</t>
  </si>
  <si>
    <t>Pfeile</t>
  </si>
  <si>
    <t>Schleuderkugeln</t>
  </si>
  <si>
    <t>Rüstungen</t>
  </si>
  <si>
    <t>RS</t>
  </si>
  <si>
    <t>MaxG</t>
  </si>
  <si>
    <t>ACP</t>
  </si>
  <si>
    <t>SF</t>
  </si>
  <si>
    <t>Leder</t>
  </si>
  <si>
    <t>Kettenhemd</t>
  </si>
  <si>
    <t>Fell</t>
  </si>
  <si>
    <t>Schuppenpanzer</t>
  </si>
  <si>
    <t>Wattiert</t>
  </si>
  <si>
    <t>Kettenpanzer</t>
  </si>
  <si>
    <t>Brustpanzer</t>
  </si>
  <si>
    <t>Schienenpanzer</t>
  </si>
  <si>
    <t>Bänderpanzer</t>
  </si>
  <si>
    <t>BEWM</t>
  </si>
  <si>
    <t>BewS</t>
  </si>
  <si>
    <t>St:</t>
  </si>
  <si>
    <t>Stufen (Total):</t>
  </si>
  <si>
    <t>Mensch</t>
  </si>
  <si>
    <t>Zwerg</t>
  </si>
  <si>
    <t>Elf</t>
  </si>
  <si>
    <t>Gnome</t>
  </si>
  <si>
    <t>Halb-Elf</t>
  </si>
  <si>
    <t>Halbling</t>
  </si>
  <si>
    <t>Rasse</t>
  </si>
  <si>
    <t>w</t>
  </si>
  <si>
    <t>Rilkan</t>
  </si>
  <si>
    <t>Skarn</t>
  </si>
  <si>
    <t>Arawai</t>
  </si>
  <si>
    <t>Aureon</t>
  </si>
  <si>
    <t>Balinor</t>
  </si>
  <si>
    <t>Die Silberne Flamme</t>
  </si>
  <si>
    <t>Boldrei</t>
  </si>
  <si>
    <t>Dol Arrah</t>
  </si>
  <si>
    <t>Dol Dorn</t>
  </si>
  <si>
    <t>Bonus</t>
  </si>
  <si>
    <t>SPRACHEN</t>
  </si>
  <si>
    <t>TALENTE</t>
  </si>
  <si>
    <t>Nutzen</t>
  </si>
  <si>
    <t>Tragkraft</t>
  </si>
  <si>
    <t>Stemmen</t>
  </si>
  <si>
    <t>Anheben</t>
  </si>
  <si>
    <t>Ziehen</t>
  </si>
  <si>
    <t>Bewegung</t>
  </si>
  <si>
    <t>Schwimmen</t>
  </si>
  <si>
    <t>Belastung</t>
  </si>
  <si>
    <t>BEWEGUNG</t>
  </si>
  <si>
    <t>m</t>
  </si>
  <si>
    <t>BESITZ</t>
  </si>
  <si>
    <t>Besitztümer</t>
  </si>
  <si>
    <t>FP:</t>
  </si>
  <si>
    <t>Balancieren</t>
  </si>
  <si>
    <t>Bluffen</t>
  </si>
  <si>
    <t>Klettern</t>
  </si>
  <si>
    <t>Handwerk</t>
  </si>
  <si>
    <t>Diplomatie</t>
  </si>
  <si>
    <t>Verkleiden</t>
  </si>
  <si>
    <t>Fälschen</t>
  </si>
  <si>
    <t>Verstecken</t>
  </si>
  <si>
    <t>Einschüchtern</t>
  </si>
  <si>
    <t>Springen</t>
  </si>
  <si>
    <t>Wissen</t>
  </si>
  <si>
    <t>Lauschen</t>
  </si>
  <si>
    <t>Schleichen</t>
  </si>
  <si>
    <t>Beruf</t>
  </si>
  <si>
    <t>Reiten</t>
  </si>
  <si>
    <t>Suchen</t>
  </si>
  <si>
    <t>Taschenspieler</t>
  </si>
  <si>
    <t>Entdecken</t>
  </si>
  <si>
    <t>Überleben</t>
  </si>
  <si>
    <t>Akrobatik</t>
  </si>
  <si>
    <t>Tierbändigen</t>
  </si>
  <si>
    <t>Nachforschen</t>
  </si>
  <si>
    <t>Abschätzen</t>
  </si>
  <si>
    <t>°</t>
  </si>
  <si>
    <t>µ</t>
  </si>
  <si>
    <t>Architektur</t>
  </si>
  <si>
    <t>Geographie</t>
  </si>
  <si>
    <t>Geschichte</t>
  </si>
  <si>
    <t xml:space="preserve">Total </t>
  </si>
  <si>
    <t>Unterhalten</t>
  </si>
  <si>
    <t>VERTEIDIGUNG</t>
  </si>
  <si>
    <t>Total</t>
  </si>
  <si>
    <t>ANGRIFF</t>
  </si>
  <si>
    <t>Fernkampf</t>
  </si>
  <si>
    <t>Nahkampf</t>
  </si>
  <si>
    <t>WAFFEN</t>
  </si>
  <si>
    <t>Art</t>
  </si>
  <si>
    <t>Schaden</t>
  </si>
  <si>
    <t>INITIATIVE</t>
  </si>
  <si>
    <t>RÜSTUNG</t>
  </si>
  <si>
    <t>Gew.</t>
  </si>
  <si>
    <t>Sonstiges</t>
  </si>
  <si>
    <t>Unbewaffnet</t>
  </si>
  <si>
    <t>PERSÖNLICHE INFORMATIONEN</t>
  </si>
  <si>
    <t>AUSRÜSTUNG</t>
  </si>
  <si>
    <t>Kopf</t>
  </si>
  <si>
    <t>Augen</t>
  </si>
  <si>
    <t>Mantel</t>
  </si>
  <si>
    <t>Schmuck</t>
  </si>
  <si>
    <t>Handschuhe</t>
  </si>
  <si>
    <t>Gürtel</t>
  </si>
  <si>
    <t>Schuhwerk</t>
  </si>
  <si>
    <t>Kleidung</t>
  </si>
  <si>
    <t>Behältnis</t>
  </si>
  <si>
    <t>Dieses Blatt ist nicht als Ausdruck gedacht!</t>
  </si>
  <si>
    <t>Plattenpanzer</t>
  </si>
  <si>
    <t>Ritterrüstung</t>
  </si>
  <si>
    <t>Magieschmied</t>
  </si>
  <si>
    <t>Barbar</t>
  </si>
  <si>
    <t>Barde</t>
  </si>
  <si>
    <t>Kleriker</t>
  </si>
  <si>
    <t>Druide</t>
  </si>
  <si>
    <t>Auserwählter</t>
  </si>
  <si>
    <t>Kämpfer</t>
  </si>
  <si>
    <t>Fluchklinge</t>
  </si>
  <si>
    <t>Leibhaftiger</t>
  </si>
  <si>
    <t>Mönch</t>
  </si>
  <si>
    <t>Paladin</t>
  </si>
  <si>
    <t>Psioniker</t>
  </si>
  <si>
    <t>Psionschmied</t>
  </si>
  <si>
    <t>Psionischer Krieger</t>
  </si>
  <si>
    <t>Waldläufer</t>
  </si>
  <si>
    <t>Schurke</t>
  </si>
  <si>
    <t>Späher</t>
  </si>
  <si>
    <t>Hexenmeister</t>
  </si>
  <si>
    <t>Seelengeborener</t>
  </si>
  <si>
    <t>Seelenklinge</t>
  </si>
  <si>
    <t>Spezialisierter Magier</t>
  </si>
  <si>
    <t>Spruchdieb</t>
  </si>
  <si>
    <t>Verruchter</t>
  </si>
  <si>
    <t>Totemist</t>
  </si>
  <si>
    <t>Kriegsmagier</t>
  </si>
  <si>
    <t>Magier</t>
  </si>
  <si>
    <t>Wilder</t>
  </si>
  <si>
    <t>Stufen</t>
  </si>
  <si>
    <t>TW</t>
  </si>
  <si>
    <t>Attribute</t>
  </si>
  <si>
    <t>Immun gegen magischen Schlaf,  +2 RW gegen Verzauberung,   +1 auf Suchen, Entdecken und Lauschen, +2 auf Diplomatie und Nachforschung,  Dämmersicht,  Favorisierte Klasse: Jede</t>
  </si>
  <si>
    <t>Halblingisch</t>
  </si>
  <si>
    <t>Sprachen</t>
  </si>
  <si>
    <t>Element Luft</t>
  </si>
  <si>
    <t>Dämonen</t>
  </si>
  <si>
    <t>Himmlische Wesen</t>
  </si>
  <si>
    <t>Teufel</t>
  </si>
  <si>
    <t>Drachen, Zauber</t>
  </si>
  <si>
    <t>Geheimsprache</t>
  </si>
  <si>
    <t>Element Feuer</t>
  </si>
  <si>
    <t>Unterwelt</t>
  </si>
  <si>
    <t>Feen</t>
  </si>
  <si>
    <t>Element Erde</t>
  </si>
  <si>
    <t>Abyssisch (Diabolisch)</t>
  </si>
  <si>
    <t>Aural (Drakonisch)</t>
  </si>
  <si>
    <t>Celestisch (Celestisch)</t>
  </si>
  <si>
    <t>Diabolisch (Diabolisch)</t>
  </si>
  <si>
    <t>Drakonisch (Drakonisch)</t>
  </si>
  <si>
    <t>Ignal (Drakonisch)</t>
  </si>
  <si>
    <t>Orkisch (Zwergisch)</t>
  </si>
  <si>
    <t>Riesisch (Zwergisch)</t>
  </si>
  <si>
    <t>Terral (Zwergisch)</t>
  </si>
  <si>
    <t>Zwergisch (Zwergisch)</t>
  </si>
  <si>
    <t>Goblinisch (Zwergisch)</t>
  </si>
  <si>
    <t>Sylvanisch (Elfisch)</t>
  </si>
  <si>
    <t>Kybhera (Elfisch)</t>
  </si>
  <si>
    <t>Elfisch (Elfisch)</t>
  </si>
  <si>
    <t>Druidisch (Druidisch)</t>
  </si>
  <si>
    <t xml:space="preserve">Keine </t>
  </si>
  <si>
    <t>Elfen</t>
  </si>
  <si>
    <t>Gnolle</t>
  </si>
  <si>
    <t>Goblinoide</t>
  </si>
  <si>
    <t>Halblinge</t>
  </si>
  <si>
    <t>Orks</t>
  </si>
  <si>
    <t>Riesen</t>
  </si>
  <si>
    <t>Gnollisch (Allgemein)</t>
  </si>
  <si>
    <t xml:space="preserve">Handelssprache (Allgemein), </t>
  </si>
  <si>
    <t>Zwerge</t>
  </si>
  <si>
    <t>BONUSSPRACHEN</t>
  </si>
  <si>
    <t>Oberkörper</t>
  </si>
  <si>
    <t>Arme</t>
  </si>
  <si>
    <t>BAB</t>
  </si>
  <si>
    <t>Geschick</t>
  </si>
  <si>
    <t>Basis Angriffs Bonus</t>
  </si>
  <si>
    <t>Rote Ecken enthalten Informationen</t>
  </si>
  <si>
    <t>Gesinnung</t>
  </si>
  <si>
    <t>Rechtschaffen Gut</t>
  </si>
  <si>
    <t>Neutral Gut</t>
  </si>
  <si>
    <t>Chaotisch Gut</t>
  </si>
  <si>
    <t>Rechtschaffen Neutral</t>
  </si>
  <si>
    <t>Neutral</t>
  </si>
  <si>
    <t>Chaotisch Neutral</t>
  </si>
  <si>
    <t>Rechtschaffen Böse</t>
  </si>
  <si>
    <t>Neutral Böse</t>
  </si>
  <si>
    <t>Chaotisch Böse</t>
  </si>
  <si>
    <t>Geschlecht</t>
  </si>
  <si>
    <t>Geschlecht:</t>
  </si>
  <si>
    <t>männlich</t>
  </si>
  <si>
    <t>Temporär</t>
  </si>
  <si>
    <t>Rüstungsmalus</t>
  </si>
  <si>
    <t>PH2</t>
  </si>
  <si>
    <t>if you delight in manipulating others, either to their disadvantage or for their own good, then the beguiler is the class for you.</t>
  </si>
  <si>
    <t>If you gaze at dragons with awe and aspire to share their power and majesty, then the dragon shaman is the class for you.</t>
  </si>
  <si>
    <t>If you find you can't choose between being an arcane spellcaster who zaps your enemies with powerful spells and a nimble, powerful front-line melee character who lays them low with a sword, the duskblade is the perfect class for you.</t>
  </si>
  <si>
    <t>The knight class is a great choice if you want to play a tough, durable melee combatant whose strong personality allows you to manipulate your foes.</t>
  </si>
  <si>
    <t>Drachen Schamane</t>
  </si>
  <si>
    <t>Dämmerklinge</t>
  </si>
  <si>
    <t>Ritter</t>
  </si>
  <si>
    <t>Betrüger</t>
  </si>
  <si>
    <t>Trefferpunkte</t>
  </si>
  <si>
    <t>Betäubung</t>
  </si>
  <si>
    <t>Rüstungsklasse</t>
  </si>
  <si>
    <t>Bundblatt Wickel</t>
  </si>
  <si>
    <t>Mondefeu</t>
  </si>
  <si>
    <t>Lederschuppen</t>
  </si>
  <si>
    <t>Holz</t>
  </si>
  <si>
    <t>Brigantine</t>
  </si>
  <si>
    <t>Lamellenpanzer</t>
  </si>
  <si>
    <t>Ringpanzer</t>
  </si>
  <si>
    <t>Dendritenrüstung</t>
  </si>
  <si>
    <t>Zwergische Stein</t>
  </si>
  <si>
    <t>Rindenpanzer</t>
  </si>
  <si>
    <t>Knochenpanzer</t>
  </si>
  <si>
    <t>Kordelpanzer</t>
  </si>
  <si>
    <t>Weidenpanzer</t>
  </si>
  <si>
    <t>19-20/x2</t>
  </si>
  <si>
    <t>x3</t>
  </si>
  <si>
    <t>Beil</t>
  </si>
  <si>
    <t>x2</t>
  </si>
  <si>
    <t>18-20/x2</t>
  </si>
  <si>
    <t>Axt, Streit, Zwergen</t>
  </si>
  <si>
    <t>Axt, Zweihändige</t>
  </si>
  <si>
    <t>Beil, Wurf</t>
  </si>
  <si>
    <t>Schwert, Krumm</t>
  </si>
  <si>
    <t>Flegel, Streit</t>
  </si>
  <si>
    <t>Flegel, Schreckens</t>
  </si>
  <si>
    <t>Glefe</t>
  </si>
  <si>
    <t>x3/x4</t>
  </si>
  <si>
    <t>Hammer, Streit</t>
  </si>
  <si>
    <t>x4</t>
  </si>
  <si>
    <t>Kriegshacke, schwer</t>
  </si>
  <si>
    <t>Kriegshacke, leicht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</si>
</sst>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[$-407]dddd\,\ d\.\ mmmm\ yyyy"/>
    <numFmt numFmtId="165" formatCode="0.0"/>
    <numFmt numFmtId="166" formatCode="0.00_ ;[Red]\-0.00\ "/>
  </numFmts>
  <fonts count="5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Monotype Corsiva"/>
      <family val="4"/>
    </font>
    <font>
      <b/>
      <sz val="10"/>
      <name val="Times New Roman"/>
      <family val="1"/>
    </font>
    <font>
      <sz val="10"/>
      <name val="Wingdings"/>
      <family val="0"/>
    </font>
    <font>
      <i/>
      <sz val="10"/>
      <name val="Times New Roman"/>
      <family val="1"/>
    </font>
    <font>
      <sz val="12"/>
      <color indexed="23"/>
      <name val="Mael"/>
      <family val="0"/>
    </font>
    <font>
      <sz val="14"/>
      <name val="Unicorn"/>
      <family val="0"/>
    </font>
    <font>
      <i/>
      <sz val="5"/>
      <name val="Times New Roman"/>
      <family val="1"/>
    </font>
    <font>
      <sz val="5"/>
      <name val="Times New Roman"/>
      <family val="1"/>
    </font>
    <font>
      <sz val="5"/>
      <color indexed="23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5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Freestyle Script"/>
      <family val="4"/>
    </font>
    <font>
      <sz val="16"/>
      <name val="Freestyle Script"/>
      <family val="4"/>
    </font>
    <font>
      <b/>
      <sz val="16"/>
      <name val="Freestyle Script"/>
      <family val="4"/>
    </font>
    <font>
      <sz val="18"/>
      <name val="Freestyle Script"/>
      <family val="4"/>
    </font>
    <font>
      <b/>
      <sz val="18"/>
      <name val="Freestyle Script"/>
      <family val="4"/>
    </font>
    <font>
      <sz val="16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4"/>
      <name val="Freestyle Script"/>
      <family val="4"/>
    </font>
    <font>
      <b/>
      <sz val="14"/>
      <name val="Freestyle Script"/>
      <family val="4"/>
    </font>
    <font>
      <sz val="12"/>
      <name val="Wingdings"/>
      <family val="0"/>
    </font>
    <font>
      <b/>
      <sz val="8"/>
      <name val="Tahoma"/>
      <family val="0"/>
    </font>
    <font>
      <sz val="14"/>
      <name val="Times New Roman"/>
      <family val="1"/>
    </font>
    <font>
      <sz val="14"/>
      <name val="Arial"/>
      <family val="0"/>
    </font>
    <font>
      <sz val="8"/>
      <color indexed="8"/>
      <name val="Arial"/>
      <family val="2"/>
    </font>
    <font>
      <sz val="10"/>
      <name val="Freestyle Script"/>
      <family val="4"/>
    </font>
    <font>
      <sz val="10"/>
      <color indexed="22"/>
      <name val="Times New Roman"/>
      <family val="1"/>
    </font>
    <font>
      <i/>
      <sz val="16"/>
      <name val="Freestyle Script"/>
      <family val="4"/>
    </font>
    <font>
      <b/>
      <sz val="8"/>
      <name val="Arial"/>
      <family val="2"/>
    </font>
    <font>
      <sz val="14"/>
      <name val="Wingdings"/>
      <family val="0"/>
    </font>
    <font>
      <sz val="16"/>
      <color indexed="9"/>
      <name val="Times New Roman"/>
      <family val="1"/>
    </font>
    <font>
      <b/>
      <sz val="10"/>
      <name val="Arial"/>
      <family val="2"/>
    </font>
    <font>
      <sz val="12"/>
      <color indexed="23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Arial"/>
      <family val="2"/>
    </font>
    <font>
      <sz val="5"/>
      <name val="Arial"/>
      <family val="2"/>
    </font>
    <font>
      <sz val="5"/>
      <color indexed="63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43"/>
      <name val="Times New Roman"/>
      <family val="1"/>
    </font>
    <font>
      <i/>
      <sz val="10"/>
      <color indexed="43"/>
      <name val="Times New Roman"/>
      <family val="1"/>
    </font>
    <font>
      <sz val="8"/>
      <color indexed="43"/>
      <name val="Times New Roman"/>
      <family val="1"/>
    </font>
    <font>
      <b/>
      <sz val="10"/>
      <color indexed="43"/>
      <name val="Times New Roman"/>
      <family val="1"/>
    </font>
    <font>
      <sz val="10"/>
      <color indexed="23"/>
      <name val="Mael"/>
      <family val="0"/>
    </font>
    <font>
      <sz val="5"/>
      <color indexed="43"/>
      <name val="Times New Roman"/>
      <family val="1"/>
    </font>
    <font>
      <sz val="10"/>
      <color indexed="43"/>
      <name val="Arial"/>
      <family val="0"/>
    </font>
    <font>
      <b/>
      <sz val="10"/>
      <color indexed="23"/>
      <name val="Arial"/>
      <family val="2"/>
    </font>
    <font>
      <sz val="10"/>
      <color indexed="2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6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2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0" fillId="2" borderId="0" xfId="0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Border="1" applyAlignment="1">
      <alignment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 horizontal="center"/>
      <protection/>
    </xf>
    <xf numFmtId="0" fontId="27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" fontId="2" fillId="2" borderId="0" xfId="0" applyNumberFormat="1" applyFont="1" applyFill="1" applyBorder="1" applyAlignment="1" applyProtection="1">
      <alignment horizontal="center"/>
      <protection/>
    </xf>
    <xf numFmtId="1" fontId="2" fillId="0" borderId="3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hidden="1"/>
    </xf>
    <xf numFmtId="49" fontId="12" fillId="2" borderId="0" xfId="0" applyNumberFormat="1" applyFont="1" applyFill="1" applyBorder="1" applyAlignment="1">
      <alignment/>
    </xf>
    <xf numFmtId="1" fontId="2" fillId="0" borderId="3" xfId="0" applyNumberFormat="1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/>
      <protection/>
    </xf>
    <xf numFmtId="0" fontId="2" fillId="0" borderId="6" xfId="0" applyFont="1" applyFill="1" applyBorder="1" applyAlignment="1" applyProtection="1">
      <alignment/>
      <protection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2" borderId="0" xfId="0" applyFont="1" applyFill="1" applyBorder="1" applyAlignment="1" applyProtection="1">
      <alignment/>
      <protection/>
    </xf>
    <xf numFmtId="1" fontId="2" fillId="2" borderId="0" xfId="0" applyNumberFormat="1" applyFont="1" applyFill="1" applyBorder="1" applyAlignment="1" applyProtection="1">
      <alignment horizontal="center"/>
      <protection locked="0"/>
    </xf>
    <xf numFmtId="1" fontId="6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 applyProtection="1">
      <alignment/>
      <protection/>
    </xf>
    <xf numFmtId="49" fontId="2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right"/>
      <protection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center"/>
      <protection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9" fillId="0" borderId="1" xfId="0" applyNumberFormat="1" applyFont="1" applyFill="1" applyBorder="1" applyAlignment="1">
      <alignment horizontal="left" vertical="center"/>
    </xf>
    <xf numFmtId="0" fontId="19" fillId="0" borderId="2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20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1" fontId="19" fillId="0" borderId="15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1" fontId="36" fillId="0" borderId="0" xfId="0" applyNumberFormat="1" applyFont="1" applyFill="1" applyBorder="1" applyAlignment="1">
      <alignment horizontal="center" vertical="center"/>
    </xf>
    <xf numFmtId="0" fontId="37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Alignment="1">
      <alignment/>
    </xf>
    <xf numFmtId="0" fontId="37" fillId="0" borderId="6" xfId="0" applyFont="1" applyBorder="1" applyAlignment="1">
      <alignment/>
    </xf>
    <xf numFmtId="0" fontId="37" fillId="0" borderId="6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37" fillId="0" borderId="16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37" fillId="0" borderId="5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33" fillId="3" borderId="3" xfId="0" applyFont="1" applyFill="1" applyBorder="1" applyAlignment="1">
      <alignment vertical="top" wrapText="1"/>
    </xf>
    <xf numFmtId="0" fontId="33" fillId="3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33" fillId="0" borderId="3" xfId="0" applyFont="1" applyBorder="1" applyAlignment="1">
      <alignment vertical="top" wrapText="1"/>
    </xf>
    <xf numFmtId="0" fontId="33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6" xfId="0" applyFont="1" applyBorder="1" applyAlignment="1">
      <alignment wrapText="1"/>
    </xf>
    <xf numFmtId="0" fontId="1" fillId="0" borderId="8" xfId="0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37" fillId="0" borderId="5" xfId="0" applyFont="1" applyFill="1" applyBorder="1" applyAlignment="1">
      <alignment/>
    </xf>
    <xf numFmtId="0" fontId="1" fillId="0" borderId="8" xfId="0" applyNumberFormat="1" applyFont="1" applyFill="1" applyBorder="1" applyAlignment="1">
      <alignment/>
    </xf>
    <xf numFmtId="0" fontId="37" fillId="0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7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center"/>
      <protection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1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/>
      <protection/>
    </xf>
    <xf numFmtId="165" fontId="5" fillId="2" borderId="0" xfId="0" applyNumberFormat="1" applyFont="1" applyFill="1" applyBorder="1" applyAlignment="1" applyProtection="1">
      <alignment horizontal="right"/>
      <protection locked="0"/>
    </xf>
    <xf numFmtId="0" fontId="6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1" fillId="0" borderId="11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1" fillId="0" borderId="6" xfId="0" applyFont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9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1" fontId="1" fillId="0" borderId="20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0" fontId="6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22" fontId="14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2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 vertical="center"/>
    </xf>
    <xf numFmtId="0" fontId="27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 applyBorder="1" applyAlignment="1" applyProtection="1">
      <alignment horizontal="center"/>
      <protection locked="0"/>
    </xf>
    <xf numFmtId="0" fontId="27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/>
    </xf>
    <xf numFmtId="0" fontId="18" fillId="0" borderId="0" xfId="0" applyFont="1" applyFill="1" applyAlignment="1">
      <alignment vertical="center"/>
    </xf>
    <xf numFmtId="0" fontId="27" fillId="0" borderId="1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1" fillId="0" borderId="0" xfId="0" applyFont="1" applyFill="1" applyAlignment="1">
      <alignment horizontal="left" vertical="center"/>
    </xf>
    <xf numFmtId="0" fontId="2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1" fillId="0" borderId="1" xfId="0" applyFont="1" applyFill="1" applyBorder="1" applyAlignment="1">
      <alignment vertical="center"/>
    </xf>
    <xf numFmtId="0" fontId="42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/>
    </xf>
    <xf numFmtId="0" fontId="48" fillId="0" borderId="0" xfId="0" applyFont="1" applyFill="1" applyAlignment="1">
      <alignment vertical="center"/>
    </xf>
    <xf numFmtId="0" fontId="49" fillId="2" borderId="0" xfId="0" applyFont="1" applyFill="1" applyAlignment="1" applyProtection="1">
      <alignment horizontal="center"/>
      <protection hidden="1"/>
    </xf>
    <xf numFmtId="0" fontId="49" fillId="2" borderId="0" xfId="0" applyFont="1" applyFill="1" applyBorder="1" applyAlignment="1" applyProtection="1">
      <alignment horizontal="center"/>
      <protection hidden="1"/>
    </xf>
    <xf numFmtId="0" fontId="49" fillId="2" borderId="0" xfId="0" applyFont="1" applyFill="1" applyAlignment="1">
      <alignment/>
    </xf>
    <xf numFmtId="1" fontId="49" fillId="2" borderId="0" xfId="0" applyNumberFormat="1" applyFont="1" applyFill="1" applyBorder="1" applyAlignment="1" applyProtection="1">
      <alignment horizontal="center"/>
      <protection/>
    </xf>
    <xf numFmtId="0" fontId="49" fillId="2" borderId="0" xfId="0" applyFont="1" applyFill="1" applyBorder="1" applyAlignment="1">
      <alignment/>
    </xf>
    <xf numFmtId="0" fontId="49" fillId="2" borderId="0" xfId="0" applyFont="1" applyFill="1" applyBorder="1" applyAlignment="1" applyProtection="1">
      <alignment horizontal="center"/>
      <protection/>
    </xf>
    <xf numFmtId="0" fontId="50" fillId="2" borderId="0" xfId="0" applyFont="1" applyFill="1" applyBorder="1" applyAlignment="1">
      <alignment/>
    </xf>
    <xf numFmtId="0" fontId="51" fillId="2" borderId="0" xfId="0" applyFont="1" applyFill="1" applyBorder="1" applyAlignment="1">
      <alignment horizontal="center"/>
    </xf>
    <xf numFmtId="0" fontId="51" fillId="2" borderId="0" xfId="0" applyFont="1" applyFill="1" applyBorder="1" applyAlignment="1">
      <alignment/>
    </xf>
    <xf numFmtId="0" fontId="49" fillId="2" borderId="0" xfId="0" applyFont="1" applyFill="1" applyAlignment="1">
      <alignment horizontal="center"/>
    </xf>
    <xf numFmtId="0" fontId="52" fillId="2" borderId="0" xfId="0" applyFont="1" applyFill="1" applyBorder="1" applyAlignment="1">
      <alignment/>
    </xf>
    <xf numFmtId="0" fontId="53" fillId="2" borderId="0" xfId="0" applyFont="1" applyFill="1" applyAlignment="1">
      <alignment/>
    </xf>
    <xf numFmtId="0" fontId="49" fillId="2" borderId="0" xfId="0" applyFont="1" applyFill="1" applyAlignment="1" applyProtection="1">
      <alignment/>
      <protection/>
    </xf>
    <xf numFmtId="0" fontId="49" fillId="2" borderId="0" xfId="0" applyFont="1" applyFill="1" applyBorder="1" applyAlignment="1" applyProtection="1">
      <alignment/>
      <protection/>
    </xf>
    <xf numFmtId="1" fontId="2" fillId="4" borderId="3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54" fillId="2" borderId="0" xfId="0" applyFont="1" applyFill="1" applyAlignment="1">
      <alignment/>
    </xf>
    <xf numFmtId="49" fontId="49" fillId="2" borderId="0" xfId="0" applyNumberFormat="1" applyFont="1" applyFill="1" applyAlignment="1">
      <alignment horizontal="center"/>
    </xf>
    <xf numFmtId="0" fontId="2" fillId="2" borderId="11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22" fontId="45" fillId="0" borderId="0" xfId="0" applyNumberFormat="1" applyFont="1" applyFill="1" applyAlignment="1">
      <alignment vertical="center"/>
    </xf>
    <xf numFmtId="22" fontId="45" fillId="0" borderId="4" xfId="0" applyNumberFormat="1" applyFont="1" applyFill="1" applyBorder="1" applyAlignment="1">
      <alignment vertical="center"/>
    </xf>
    <xf numFmtId="22" fontId="12" fillId="0" borderId="0" xfId="0" applyNumberFormat="1" applyFont="1" applyFill="1" applyAlignment="1">
      <alignment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 vertical="center"/>
    </xf>
    <xf numFmtId="0" fontId="12" fillId="2" borderId="0" xfId="0" applyFont="1" applyFill="1" applyBorder="1" applyAlignment="1">
      <alignment/>
    </xf>
    <xf numFmtId="0" fontId="22" fillId="0" borderId="4" xfId="0" applyFont="1" applyFill="1" applyBorder="1" applyAlignment="1">
      <alignment vertical="center"/>
    </xf>
    <xf numFmtId="0" fontId="33" fillId="3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right"/>
    </xf>
    <xf numFmtId="0" fontId="33" fillId="0" borderId="0" xfId="0" applyFont="1" applyFill="1" applyBorder="1" applyAlignment="1">
      <alignment vertical="top" wrapText="1"/>
    </xf>
    <xf numFmtId="0" fontId="33" fillId="0" borderId="5" xfId="0" applyFont="1" applyFill="1" applyBorder="1" applyAlignment="1">
      <alignment vertical="top" wrapText="1"/>
    </xf>
    <xf numFmtId="0" fontId="33" fillId="0" borderId="8" xfId="0" applyFont="1" applyFill="1" applyBorder="1" applyAlignment="1">
      <alignment vertical="top" wrapText="1"/>
    </xf>
    <xf numFmtId="0" fontId="33" fillId="0" borderId="3" xfId="0" applyFont="1" applyFill="1" applyBorder="1" applyAlignment="1">
      <alignment vertical="top" wrapText="1"/>
    </xf>
    <xf numFmtId="0" fontId="33" fillId="0" borderId="0" xfId="0" applyFont="1" applyBorder="1" applyAlignment="1">
      <alignment vertical="top" wrapText="1"/>
    </xf>
    <xf numFmtId="0" fontId="33" fillId="3" borderId="0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33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/>
    </xf>
    <xf numFmtId="0" fontId="56" fillId="2" borderId="0" xfId="0" applyFont="1" applyFill="1" applyAlignment="1">
      <alignment/>
    </xf>
    <xf numFmtId="0" fontId="57" fillId="2" borderId="0" xfId="0" applyFont="1" applyFill="1" applyAlignment="1">
      <alignment/>
    </xf>
    <xf numFmtId="49" fontId="2" fillId="2" borderId="0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37" fillId="0" borderId="6" xfId="0" applyFont="1" applyFill="1" applyBorder="1" applyAlignment="1">
      <alignment/>
    </xf>
    <xf numFmtId="0" fontId="37" fillId="0" borderId="7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29" xfId="0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/>
      <protection locked="0"/>
    </xf>
    <xf numFmtId="165" fontId="2" fillId="0" borderId="3" xfId="0" applyNumberFormat="1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/>
    </xf>
    <xf numFmtId="165" fontId="49" fillId="2" borderId="0" xfId="0" applyNumberFormat="1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43" fillId="2" borderId="0" xfId="0" applyFont="1" applyFill="1" applyAlignment="1" applyProtection="1">
      <alignment horizontal="center" vertical="center"/>
      <protection/>
    </xf>
    <xf numFmtId="1" fontId="49" fillId="2" borderId="0" xfId="0" applyNumberFormat="1" applyFont="1" applyFill="1" applyBorder="1" applyAlignment="1" applyProtection="1">
      <alignment horizontal="center"/>
      <protection/>
    </xf>
    <xf numFmtId="2" fontId="49" fillId="2" borderId="0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/>
    </xf>
    <xf numFmtId="0" fontId="49" fillId="2" borderId="0" xfId="0" applyFont="1" applyFill="1" applyBorder="1" applyAlignment="1">
      <alignment horizontal="center"/>
    </xf>
    <xf numFmtId="1" fontId="2" fillId="2" borderId="1" xfId="0" applyNumberFormat="1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>
      <alignment/>
    </xf>
    <xf numFmtId="0" fontId="2" fillId="0" borderId="3" xfId="0" applyFont="1" applyFill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center"/>
      <protection locked="0"/>
    </xf>
    <xf numFmtId="1" fontId="2" fillId="2" borderId="3" xfId="0" applyNumberFormat="1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3" fillId="2" borderId="8" xfId="18" applyFill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0" fillId="0" borderId="30" xfId="0" applyFont="1" applyFill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2" fillId="0" borderId="29" xfId="0" applyNumberFormat="1" applyFont="1" applyFill="1" applyBorder="1" applyAlignment="1" applyProtection="1">
      <alignment horizontal="left"/>
      <protection locked="0"/>
    </xf>
    <xf numFmtId="0" fontId="2" fillId="0" borderId="19" xfId="0" applyNumberFormat="1" applyFont="1" applyFill="1" applyBorder="1" applyAlignment="1" applyProtection="1">
      <alignment horizontal="left"/>
      <protection locked="0"/>
    </xf>
    <xf numFmtId="0" fontId="2" fillId="0" borderId="30" xfId="0" applyNumberFormat="1" applyFont="1" applyFill="1" applyBorder="1" applyAlignment="1" applyProtection="1">
      <alignment horizontal="left"/>
      <protection locked="0"/>
    </xf>
    <xf numFmtId="0" fontId="3" fillId="2" borderId="0" xfId="18" applyFill="1" applyBorder="1" applyAlignment="1" applyProtection="1">
      <alignment horizontal="center"/>
      <protection locked="0"/>
    </xf>
    <xf numFmtId="0" fontId="3" fillId="2" borderId="31" xfId="18" applyFill="1" applyBorder="1" applyAlignment="1" applyProtection="1">
      <alignment horizontal="center"/>
      <protection locked="0"/>
    </xf>
    <xf numFmtId="0" fontId="0" fillId="2" borderId="2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39" fillId="5" borderId="0" xfId="0" applyFont="1" applyFill="1" applyAlignment="1">
      <alignment horizontal="center" vertical="center"/>
    </xf>
    <xf numFmtId="0" fontId="3" fillId="2" borderId="0" xfId="18" applyFill="1" applyAlignment="1" applyProtection="1">
      <alignment horizontal="center"/>
      <protection locked="0"/>
    </xf>
    <xf numFmtId="0" fontId="0" fillId="2" borderId="0" xfId="0" applyFont="1" applyFill="1" applyAlignment="1">
      <alignment horizontal="center"/>
    </xf>
    <xf numFmtId="0" fontId="3" fillId="2" borderId="0" xfId="18" applyFill="1" applyAlignment="1">
      <alignment horizontal="center"/>
    </xf>
    <xf numFmtId="0" fontId="3" fillId="2" borderId="0" xfId="18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29" xfId="0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 applyProtection="1">
      <alignment horizontal="left"/>
      <protection locked="0"/>
    </xf>
    <xf numFmtId="0" fontId="2" fillId="0" borderId="30" xfId="0" applyFont="1" applyFill="1" applyBorder="1" applyAlignment="1" applyProtection="1">
      <alignment horizontal="left"/>
      <protection locked="0"/>
    </xf>
    <xf numFmtId="0" fontId="0" fillId="2" borderId="8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49" fillId="2" borderId="0" xfId="0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6" fillId="2" borderId="29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1" fontId="6" fillId="0" borderId="3" xfId="0" applyNumberFormat="1" applyFont="1" applyFill="1" applyBorder="1" applyAlignment="1" applyProtection="1">
      <alignment horizontal="center"/>
      <protection locked="0"/>
    </xf>
    <xf numFmtId="1" fontId="2" fillId="2" borderId="0" xfId="0" applyNumberFormat="1" applyFont="1" applyFill="1" applyBorder="1" applyAlignment="1" applyProtection="1">
      <alignment horizontal="center"/>
      <protection/>
    </xf>
    <xf numFmtId="0" fontId="54" fillId="2" borderId="0" xfId="0" applyFont="1" applyFill="1" applyBorder="1" applyAlignment="1">
      <alignment horizontal="center"/>
    </xf>
    <xf numFmtId="0" fontId="5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 applyProtection="1">
      <alignment horizontal="center"/>
      <protection/>
    </xf>
    <xf numFmtId="0" fontId="2" fillId="0" borderId="3" xfId="0" applyNumberFormat="1" applyFont="1" applyFill="1" applyBorder="1" applyAlignment="1" applyProtection="1">
      <alignment/>
      <protection locked="0"/>
    </xf>
    <xf numFmtId="0" fontId="12" fillId="2" borderId="0" xfId="0" applyFont="1" applyFill="1" applyBorder="1" applyAlignment="1" applyProtection="1">
      <alignment horizontal="center"/>
      <protection/>
    </xf>
    <xf numFmtId="0" fontId="49" fillId="2" borderId="0" xfId="0" applyFont="1" applyFill="1" applyBorder="1" applyAlignment="1" applyProtection="1">
      <alignment horizontal="center"/>
      <protection/>
    </xf>
    <xf numFmtId="165" fontId="5" fillId="0" borderId="3" xfId="0" applyNumberFormat="1" applyFont="1" applyFill="1" applyBorder="1" applyAlignment="1" applyProtection="1">
      <alignment horizontal="right"/>
      <protection locked="0"/>
    </xf>
    <xf numFmtId="165" fontId="5" fillId="0" borderId="29" xfId="0" applyNumberFormat="1" applyFont="1" applyFill="1" applyBorder="1" applyAlignment="1" applyProtection="1">
      <alignment horizontal="center"/>
      <protection locked="0"/>
    </xf>
    <xf numFmtId="165" fontId="5" fillId="0" borderId="30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0" borderId="19" xfId="0" applyFont="1" applyFill="1" applyBorder="1" applyAlignment="1" applyProtection="1">
      <alignment horizontal="center"/>
      <protection locked="0"/>
    </xf>
    <xf numFmtId="165" fontId="5" fillId="2" borderId="29" xfId="0" applyNumberFormat="1" applyFont="1" applyFill="1" applyBorder="1" applyAlignment="1" applyProtection="1">
      <alignment horizontal="center"/>
      <protection/>
    </xf>
    <xf numFmtId="165" fontId="5" fillId="2" borderId="30" xfId="0" applyNumberFormat="1" applyFont="1" applyFill="1" applyBorder="1" applyAlignment="1" applyProtection="1">
      <alignment horizontal="center"/>
      <protection/>
    </xf>
    <xf numFmtId="165" fontId="5" fillId="2" borderId="3" xfId="0" applyNumberFormat="1" applyFont="1" applyFill="1" applyBorder="1" applyAlignment="1" applyProtection="1">
      <alignment horizontal="right"/>
      <protection/>
    </xf>
    <xf numFmtId="0" fontId="6" fillId="2" borderId="0" xfId="0" applyFont="1" applyFill="1" applyAlignment="1">
      <alignment horizontal="center"/>
    </xf>
    <xf numFmtId="0" fontId="43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49" fillId="2" borderId="0" xfId="0" applyFont="1" applyFill="1" applyBorder="1" applyAlignment="1" applyProtection="1">
      <alignment horizontal="center" vertical="center"/>
      <protection hidden="1"/>
    </xf>
    <xf numFmtId="1" fontId="2" fillId="2" borderId="1" xfId="0" applyNumberFormat="1" applyFont="1" applyFill="1" applyBorder="1" applyAlignment="1" applyProtection="1">
      <alignment horizontal="center" vertical="center"/>
      <protection/>
    </xf>
    <xf numFmtId="1" fontId="2" fillId="0" borderId="3" xfId="0" applyNumberFormat="1" applyFont="1" applyFill="1" applyBorder="1" applyAlignment="1" applyProtection="1">
      <alignment horizontal="center" vertical="center"/>
      <protection locked="0"/>
    </xf>
    <xf numFmtId="1" fontId="49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center"/>
    </xf>
    <xf numFmtId="166" fontId="49" fillId="2" borderId="0" xfId="0" applyNumberFormat="1" applyFont="1" applyFill="1" applyBorder="1" applyAlignment="1" applyProtection="1">
      <alignment horizontal="center"/>
      <protection/>
    </xf>
    <xf numFmtId="2" fontId="6" fillId="2" borderId="29" xfId="0" applyNumberFormat="1" applyFont="1" applyFill="1" applyBorder="1" applyAlignment="1">
      <alignment horizontal="center" vertical="center"/>
    </xf>
    <xf numFmtId="2" fontId="6" fillId="2" borderId="19" xfId="0" applyNumberFormat="1" applyFont="1" applyFill="1" applyBorder="1" applyAlignment="1">
      <alignment horizontal="center" vertical="center"/>
    </xf>
    <xf numFmtId="2" fontId="6" fillId="2" borderId="30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3" borderId="29" xfId="0" applyFont="1" applyFill="1" applyBorder="1" applyAlignment="1" applyProtection="1">
      <alignment horizontal="left"/>
      <protection locked="0"/>
    </xf>
    <xf numFmtId="0" fontId="2" fillId="3" borderId="30" xfId="0" applyFont="1" applyFill="1" applyBorder="1" applyAlignment="1" applyProtection="1">
      <alignment horizontal="left"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1" fontId="36" fillId="0" borderId="1" xfId="0" applyNumberFormat="1" applyFont="1" applyFill="1" applyBorder="1" applyAlignment="1">
      <alignment horizontal="center" vertical="center"/>
    </xf>
    <xf numFmtId="1" fontId="36" fillId="0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1" xfId="0" applyNumberFormat="1" applyFont="1" applyFill="1" applyBorder="1" applyAlignment="1">
      <alignment horizontal="left" vertical="center"/>
    </xf>
    <xf numFmtId="0" fontId="20" fillId="0" borderId="32" xfId="0" applyFont="1" applyFill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1" fontId="20" fillId="0" borderId="32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21" fillId="0" borderId="13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22" fontId="45" fillId="0" borderId="4" xfId="0" applyNumberFormat="1" applyFont="1" applyFill="1" applyBorder="1" applyAlignment="1">
      <alignment horizontal="center" vertical="center"/>
    </xf>
    <xf numFmtId="1" fontId="20" fillId="0" borderId="13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35" fillId="0" borderId="32" xfId="0" applyFont="1" applyFill="1" applyBorder="1" applyAlignment="1" applyProtection="1">
      <alignment horizontal="center" vertical="center"/>
      <protection locked="0"/>
    </xf>
    <xf numFmtId="0" fontId="35" fillId="0" borderId="4" xfId="0" applyFont="1" applyFill="1" applyBorder="1" applyAlignment="1" applyProtection="1">
      <alignment horizontal="center" vertical="center"/>
      <protection locked="0"/>
    </xf>
    <xf numFmtId="0" fontId="35" fillId="0" borderId="33" xfId="0" applyFont="1" applyFill="1" applyBorder="1" applyAlignment="1" applyProtection="1">
      <alignment horizontal="center" vertical="center"/>
      <protection locked="0"/>
    </xf>
    <xf numFmtId="0" fontId="35" fillId="0" borderId="36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37" xfId="0" applyFont="1" applyFill="1" applyBorder="1" applyAlignment="1" applyProtection="1">
      <alignment horizontal="center" vertical="center"/>
      <protection locked="0"/>
    </xf>
    <xf numFmtId="0" fontId="35" fillId="0" borderId="34" xfId="0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 vertical="center"/>
      <protection locked="0"/>
    </xf>
    <xf numFmtId="0" fontId="35" fillId="0" borderId="35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left" vertical="center"/>
    </xf>
    <xf numFmtId="0" fontId="27" fillId="0" borderId="36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37" xfId="0" applyNumberFormat="1" applyFont="1" applyFill="1" applyBorder="1" applyAlignment="1">
      <alignment horizontal="left" vertical="center"/>
    </xf>
    <xf numFmtId="0" fontId="27" fillId="0" borderId="32" xfId="0" applyNumberFormat="1" applyFont="1" applyFill="1" applyBorder="1" applyAlignment="1">
      <alignment horizontal="left" vertical="center"/>
    </xf>
    <xf numFmtId="0" fontId="27" fillId="0" borderId="4" xfId="0" applyNumberFormat="1" applyFont="1" applyFill="1" applyBorder="1" applyAlignment="1">
      <alignment horizontal="left" vertical="center"/>
    </xf>
    <xf numFmtId="0" fontId="27" fillId="0" borderId="33" xfId="0" applyNumberFormat="1" applyFont="1" applyFill="1" applyBorder="1" applyAlignment="1">
      <alignment horizontal="left" vertical="center"/>
    </xf>
    <xf numFmtId="0" fontId="27" fillId="0" borderId="1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vertical="center"/>
    </xf>
    <xf numFmtId="0" fontId="27" fillId="0" borderId="34" xfId="0" applyNumberFormat="1" applyFont="1" applyFill="1" applyBorder="1" applyAlignment="1">
      <alignment horizontal="left" vertical="center"/>
    </xf>
    <xf numFmtId="0" fontId="27" fillId="0" borderId="35" xfId="0" applyNumberFormat="1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vertical="top" wrapText="1"/>
    </xf>
    <xf numFmtId="0" fontId="32" fillId="0" borderId="4" xfId="0" applyFont="1" applyFill="1" applyBorder="1" applyAlignment="1">
      <alignment vertical="top"/>
    </xf>
    <xf numFmtId="0" fontId="32" fillId="0" borderId="33" xfId="0" applyFont="1" applyFill="1" applyBorder="1" applyAlignment="1">
      <alignment vertical="top"/>
    </xf>
    <xf numFmtId="0" fontId="32" fillId="0" borderId="36" xfId="0" applyFont="1" applyFill="1" applyBorder="1" applyAlignment="1">
      <alignment vertical="top"/>
    </xf>
    <xf numFmtId="0" fontId="32" fillId="0" borderId="0" xfId="0" applyFont="1" applyFill="1" applyBorder="1" applyAlignment="1">
      <alignment vertical="top"/>
    </xf>
    <xf numFmtId="0" fontId="32" fillId="0" borderId="37" xfId="0" applyFont="1" applyFill="1" applyBorder="1" applyAlignment="1">
      <alignment vertical="top"/>
    </xf>
    <xf numFmtId="0" fontId="32" fillId="0" borderId="34" xfId="0" applyFont="1" applyFill="1" applyBorder="1" applyAlignment="1">
      <alignment vertical="top"/>
    </xf>
    <xf numFmtId="0" fontId="32" fillId="0" borderId="1" xfId="0" applyFont="1" applyFill="1" applyBorder="1" applyAlignment="1">
      <alignment vertical="top"/>
    </xf>
    <xf numFmtId="0" fontId="32" fillId="0" borderId="35" xfId="0" applyFont="1" applyFill="1" applyBorder="1" applyAlignment="1">
      <alignment vertical="top"/>
    </xf>
    <xf numFmtId="0" fontId="19" fillId="0" borderId="1" xfId="0" applyFont="1" applyFill="1" applyBorder="1" applyAlignment="1">
      <alignment horizontal="right" vertical="center"/>
    </xf>
    <xf numFmtId="1" fontId="19" fillId="0" borderId="2" xfId="0" applyNumberFormat="1" applyFont="1" applyFill="1" applyBorder="1" applyAlignment="1">
      <alignment horizontal="right" vertical="center"/>
    </xf>
    <xf numFmtId="0" fontId="19" fillId="0" borderId="2" xfId="0" applyFont="1" applyFill="1" applyBorder="1" applyAlignment="1">
      <alignment horizontal="right" vertical="center"/>
    </xf>
    <xf numFmtId="1" fontId="36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22" fontId="12" fillId="0" borderId="0" xfId="0" applyNumberFormat="1" applyFont="1" applyFill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/>
    </xf>
    <xf numFmtId="2" fontId="27" fillId="0" borderId="2" xfId="0" applyNumberFormat="1" applyFont="1" applyFill="1" applyBorder="1" applyAlignment="1">
      <alignment horizontal="center" vertical="center"/>
    </xf>
    <xf numFmtId="2" fontId="27" fillId="0" borderId="14" xfId="0" applyNumberFormat="1" applyFont="1" applyFill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22" fontId="45" fillId="0" borderId="0" xfId="0" applyNumberFormat="1" applyFont="1" applyFill="1" applyAlignment="1">
      <alignment horizontal="center" vertical="center"/>
    </xf>
    <xf numFmtId="0" fontId="27" fillId="0" borderId="13" xfId="0" applyFont="1" applyBorder="1" applyAlignment="1">
      <alignment horizontal="left"/>
    </xf>
    <xf numFmtId="0" fontId="27" fillId="0" borderId="2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32" xfId="0" applyFont="1" applyBorder="1" applyAlignment="1">
      <alignment horizontal="left"/>
    </xf>
    <xf numFmtId="0" fontId="27" fillId="0" borderId="4" xfId="0" applyFont="1" applyBorder="1" applyAlignment="1">
      <alignment horizontal="left"/>
    </xf>
    <xf numFmtId="0" fontId="27" fillId="0" borderId="33" xfId="0" applyFont="1" applyBorder="1" applyAlignment="1">
      <alignment horizontal="left"/>
    </xf>
    <xf numFmtId="0" fontId="27" fillId="0" borderId="34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0" borderId="35" xfId="0" applyFont="1" applyBorder="1" applyAlignment="1">
      <alignment horizontal="left"/>
    </xf>
    <xf numFmtId="0" fontId="31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409575" y="0"/>
          <a:ext cx="3600450" cy="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4105275" y="0"/>
          <a:ext cx="3343275" cy="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4105275" y="0"/>
          <a:ext cx="3343275" cy="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400050" y="0"/>
          <a:ext cx="3609975" cy="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" name="Rectangle 6"/>
        <xdr:cNvSpPr>
          <a:spLocks/>
        </xdr:cNvSpPr>
      </xdr:nvSpPr>
      <xdr:spPr>
        <a:xfrm>
          <a:off x="400050" y="0"/>
          <a:ext cx="3609975" cy="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6" name="Rectangle 7"/>
        <xdr:cNvSpPr>
          <a:spLocks/>
        </xdr:cNvSpPr>
      </xdr:nvSpPr>
      <xdr:spPr>
        <a:xfrm>
          <a:off x="4114800" y="0"/>
          <a:ext cx="3343275" cy="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7" name="Rectangle 8"/>
        <xdr:cNvSpPr>
          <a:spLocks/>
        </xdr:cNvSpPr>
      </xdr:nvSpPr>
      <xdr:spPr>
        <a:xfrm>
          <a:off x="400050" y="0"/>
          <a:ext cx="3609975" cy="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8" name="Rectangle 9"/>
        <xdr:cNvSpPr>
          <a:spLocks/>
        </xdr:cNvSpPr>
      </xdr:nvSpPr>
      <xdr:spPr>
        <a:xfrm>
          <a:off x="4114800" y="0"/>
          <a:ext cx="3333750" cy="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400050" y="0"/>
          <a:ext cx="3609975" cy="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4114800" y="0"/>
          <a:ext cx="3333750" cy="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400050" y="0"/>
          <a:ext cx="3609975" cy="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4105275" y="0"/>
          <a:ext cx="3343275" cy="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4114800" y="0"/>
          <a:ext cx="3343275" cy="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21</xdr:row>
      <xdr:rowOff>0</xdr:rowOff>
    </xdr:from>
    <xdr:to>
      <xdr:col>8</xdr:col>
      <xdr:colOff>161925</xdr:colOff>
      <xdr:row>22</xdr:row>
      <xdr:rowOff>142875</xdr:rowOff>
    </xdr:to>
    <xdr:grpSp>
      <xdr:nvGrpSpPr>
        <xdr:cNvPr id="14" name="Group 45"/>
        <xdr:cNvGrpSpPr>
          <a:grpSpLocks/>
        </xdr:cNvGrpSpPr>
      </xdr:nvGrpSpPr>
      <xdr:grpSpPr>
        <a:xfrm>
          <a:off x="561975" y="4610100"/>
          <a:ext cx="1257300" cy="352425"/>
          <a:chOff x="763" y="111"/>
          <a:chExt cx="132" cy="37"/>
        </a:xfrm>
        <a:solidFill>
          <a:srgbClr val="FFFFFF"/>
        </a:solidFill>
      </xdr:grpSpPr>
    </xdr:grpSp>
    <xdr:clientData fLocksWithSheet="0"/>
  </xdr:twoCellAnchor>
  <xdr:twoCellAnchor>
    <xdr:from>
      <xdr:col>10</xdr:col>
      <xdr:colOff>0</xdr:colOff>
      <xdr:row>21</xdr:row>
      <xdr:rowOff>9525</xdr:rowOff>
    </xdr:from>
    <xdr:to>
      <xdr:col>16</xdr:col>
      <xdr:colOff>95250</xdr:colOff>
      <xdr:row>22</xdr:row>
      <xdr:rowOff>152400</xdr:rowOff>
    </xdr:to>
    <xdr:grpSp>
      <xdr:nvGrpSpPr>
        <xdr:cNvPr id="18" name="Group 44"/>
        <xdr:cNvGrpSpPr>
          <a:grpSpLocks/>
        </xdr:cNvGrpSpPr>
      </xdr:nvGrpSpPr>
      <xdr:grpSpPr>
        <a:xfrm>
          <a:off x="2019300" y="4619625"/>
          <a:ext cx="1181100" cy="352425"/>
          <a:chOff x="763" y="169"/>
          <a:chExt cx="132" cy="37"/>
        </a:xfrm>
        <a:solidFill>
          <a:srgbClr val="FFFFFF"/>
        </a:solidFill>
      </xdr:grpSpPr>
    </xdr:grpSp>
    <xdr:clientData fLocksWithSheet="0"/>
  </xdr:twoCellAnchor>
  <xdr:twoCellAnchor editAs="oneCell">
    <xdr:from>
      <xdr:col>14</xdr:col>
      <xdr:colOff>66675</xdr:colOff>
      <xdr:row>74</xdr:row>
      <xdr:rowOff>0</xdr:rowOff>
    </xdr:from>
    <xdr:to>
      <xdr:col>20</xdr:col>
      <xdr:colOff>95250</xdr:colOff>
      <xdr:row>82</xdr:row>
      <xdr:rowOff>95250</xdr:rowOff>
    </xdr:to>
    <xdr:pic>
      <xdr:nvPicPr>
        <xdr:cNvPr id="22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5716250"/>
          <a:ext cx="11144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3438525" cy="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3533775" y="0"/>
          <a:ext cx="3343275" cy="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533775" y="0"/>
          <a:ext cx="3343275" cy="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0" y="0"/>
          <a:ext cx="3438525" cy="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" name="Rectangle 6"/>
        <xdr:cNvSpPr>
          <a:spLocks/>
        </xdr:cNvSpPr>
      </xdr:nvSpPr>
      <xdr:spPr>
        <a:xfrm>
          <a:off x="0" y="0"/>
          <a:ext cx="3438525" cy="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6" name="Rectangle 7"/>
        <xdr:cNvSpPr>
          <a:spLocks/>
        </xdr:cNvSpPr>
      </xdr:nvSpPr>
      <xdr:spPr>
        <a:xfrm>
          <a:off x="3543300" y="0"/>
          <a:ext cx="3343275" cy="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Rectangle 8"/>
        <xdr:cNvSpPr>
          <a:spLocks/>
        </xdr:cNvSpPr>
      </xdr:nvSpPr>
      <xdr:spPr>
        <a:xfrm>
          <a:off x="0" y="0"/>
          <a:ext cx="3438525" cy="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" name="Rectangle 9"/>
        <xdr:cNvSpPr>
          <a:spLocks/>
        </xdr:cNvSpPr>
      </xdr:nvSpPr>
      <xdr:spPr>
        <a:xfrm>
          <a:off x="3543300" y="0"/>
          <a:ext cx="3333750" cy="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0" y="0"/>
          <a:ext cx="3438525" cy="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3543300" y="0"/>
          <a:ext cx="3333750" cy="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0" y="0"/>
          <a:ext cx="3438525" cy="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3533775" y="0"/>
          <a:ext cx="3343275" cy="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3543300" y="0"/>
          <a:ext cx="3343275" cy="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7</xdr:col>
      <xdr:colOff>723900</xdr:colOff>
      <xdr:row>45</xdr:row>
      <xdr:rowOff>114300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l="8666" t="11877" r="7543" b="12680"/>
        <a:stretch>
          <a:fillRect/>
        </a:stretch>
      </xdr:blipFill>
      <xdr:spPr>
        <a:xfrm>
          <a:off x="0" y="1943100"/>
          <a:ext cx="6057900" cy="545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76200</xdr:rowOff>
    </xdr:from>
    <xdr:to>
      <xdr:col>7</xdr:col>
      <xdr:colOff>723900</xdr:colOff>
      <xdr:row>111</xdr:row>
      <xdr:rowOff>104775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rcRect l="15383" t="10527" r="11058" b="18659"/>
        <a:stretch>
          <a:fillRect/>
        </a:stretch>
      </xdr:blipFill>
      <xdr:spPr>
        <a:xfrm>
          <a:off x="0" y="12220575"/>
          <a:ext cx="6057900" cy="585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7</xdr:col>
      <xdr:colOff>723900</xdr:colOff>
      <xdr:row>176</xdr:row>
      <xdr:rowOff>104775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rcRect l="7386" t="9091" r="7954" b="10227"/>
        <a:stretch>
          <a:fillRect/>
        </a:stretch>
      </xdr:blipFill>
      <xdr:spPr>
        <a:xfrm>
          <a:off x="0" y="22831425"/>
          <a:ext cx="6057900" cy="577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venthsanctum.com/index-name.php" TargetMode="External" /><Relationship Id="rId2" Type="http://schemas.openxmlformats.org/officeDocument/2006/relationships/hyperlink" Target="http://www.wizards.com/default.asp?x=dnd/dnd/20010112e" TargetMode="External" /><Relationship Id="rId3" Type="http://schemas.openxmlformats.org/officeDocument/2006/relationships/hyperlink" Target="http://www.seventhsanctum.com/generate.php?Genname=generalperson" TargetMode="External" /><Relationship Id="rId4" Type="http://schemas.openxmlformats.org/officeDocument/2006/relationships/hyperlink" Target="http://elfwood.lysator.liu.se/elfwood.pike" TargetMode="External" /><Relationship Id="rId5" Type="http://schemas.openxmlformats.org/officeDocument/2006/relationships/hyperlink" Target="http://www.wizards.com/default.asp?x=dnd/lists/feats" TargetMode="External" /><Relationship Id="rId6" Type="http://schemas.openxmlformats.org/officeDocument/2006/relationships/hyperlink" Target="http://www.wizards.com/default.asp?x=dnd/lists/spells" TargetMode="External" /><Relationship Id="rId7" Type="http://schemas.openxmlformats.org/officeDocument/2006/relationships/hyperlink" Target="http://www.wizards.com/default.asp?x=dnd/lists/prc" TargetMode="External" /><Relationship Id="rId8" Type="http://schemas.openxmlformats.org/officeDocument/2006/relationships/hyperlink" Target="http://www.wizards.com/default.asp?x=d20/article/srd35" TargetMode="External" /><Relationship Id="rId9" Type="http://schemas.openxmlformats.org/officeDocument/2006/relationships/comments" Target="../comments1.xml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P677"/>
  <sheetViews>
    <sheetView showGridLines="0" tabSelected="1" zoomScaleSheetLayoutView="100" workbookViewId="0" topLeftCell="A1">
      <selection activeCell="F4" sqref="F4:N4"/>
    </sheetView>
  </sheetViews>
  <sheetFormatPr defaultColWidth="11.421875" defaultRowHeight="16.5" customHeight="1"/>
  <cols>
    <col min="1" max="1" width="5.8515625" style="7" customWidth="1"/>
    <col min="2" max="16384" width="2.7109375" style="1" customWidth="1"/>
  </cols>
  <sheetData>
    <row r="1" spans="1:42" ht="16.5" customHeight="1">
      <c r="A1" s="360" t="s">
        <v>552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  <c r="AK1" s="360"/>
      <c r="AL1" s="360"/>
      <c r="AM1" s="360"/>
      <c r="AN1" s="360"/>
      <c r="AO1" s="360"/>
      <c r="AP1" s="360"/>
    </row>
    <row r="2" spans="1:42" ht="16.5" customHeight="1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360"/>
    </row>
    <row r="3" spans="2:42" ht="13.5" thickBot="1">
      <c r="B3" s="7"/>
      <c r="C3" s="7"/>
      <c r="D3" s="313" t="s">
        <v>541</v>
      </c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2:42" ht="18.75" customHeight="1">
      <c r="B4" s="7"/>
      <c r="C4" s="11" t="s">
        <v>325</v>
      </c>
      <c r="D4" s="7"/>
      <c r="E4" s="7"/>
      <c r="F4" s="320"/>
      <c r="G4" s="395"/>
      <c r="H4" s="395"/>
      <c r="I4" s="395"/>
      <c r="J4" s="395"/>
      <c r="K4" s="395"/>
      <c r="L4" s="395"/>
      <c r="M4" s="395"/>
      <c r="N4" s="321"/>
      <c r="O4" s="7"/>
      <c r="P4" s="7"/>
      <c r="Q4" s="362" t="s">
        <v>134</v>
      </c>
      <c r="R4" s="362"/>
      <c r="S4" s="362"/>
      <c r="T4" s="362"/>
      <c r="U4" s="362"/>
      <c r="V4" s="362"/>
      <c r="W4" s="362"/>
      <c r="X4" s="362"/>
      <c r="Y4" s="362"/>
      <c r="Z4" s="7"/>
      <c r="AA4" s="7"/>
      <c r="AB4" s="7"/>
      <c r="AC4" s="7"/>
      <c r="AD4" s="7"/>
      <c r="AE4" s="291"/>
      <c r="AF4" s="292"/>
      <c r="AG4" s="292"/>
      <c r="AH4" s="292"/>
      <c r="AI4" s="292"/>
      <c r="AJ4" s="292"/>
      <c r="AK4" s="292"/>
      <c r="AL4" s="292"/>
      <c r="AM4" s="292"/>
      <c r="AN4" s="292"/>
      <c r="AO4" s="293"/>
      <c r="AP4" s="7"/>
    </row>
    <row r="5" spans="2:42" ht="18.75" customHeight="1">
      <c r="B5" s="7"/>
      <c r="C5" s="11"/>
      <c r="D5" s="7"/>
      <c r="E5" s="7"/>
      <c r="F5" s="289"/>
      <c r="G5" s="289"/>
      <c r="H5" s="289"/>
      <c r="I5" s="289"/>
      <c r="J5" s="289"/>
      <c r="K5" s="289"/>
      <c r="L5" s="289"/>
      <c r="M5" s="289"/>
      <c r="N5" s="289"/>
      <c r="O5" s="7"/>
      <c r="P5" s="7"/>
      <c r="Q5" s="361" t="s">
        <v>141</v>
      </c>
      <c r="R5" s="361"/>
      <c r="S5" s="361"/>
      <c r="T5" s="361"/>
      <c r="U5" s="361"/>
      <c r="V5" s="361"/>
      <c r="W5" s="361"/>
      <c r="X5" s="361"/>
      <c r="Y5" s="361"/>
      <c r="Z5" s="7"/>
      <c r="AA5" s="7"/>
      <c r="AB5" s="7"/>
      <c r="AC5" s="7"/>
      <c r="AD5" s="7"/>
      <c r="AE5" s="357" t="s">
        <v>148</v>
      </c>
      <c r="AF5" s="358"/>
      <c r="AG5" s="358"/>
      <c r="AH5" s="358"/>
      <c r="AI5" s="358"/>
      <c r="AJ5" s="358"/>
      <c r="AK5" s="358"/>
      <c r="AL5" s="358"/>
      <c r="AM5" s="358"/>
      <c r="AN5" s="358"/>
      <c r="AO5" s="359"/>
      <c r="AP5" s="7"/>
    </row>
    <row r="6" spans="2:42" ht="18.75" customHeight="1">
      <c r="B6" s="7"/>
      <c r="C6" s="11" t="s">
        <v>326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294"/>
      <c r="AF6" s="355" t="s">
        <v>149</v>
      </c>
      <c r="AG6" s="355"/>
      <c r="AH6" s="355"/>
      <c r="AI6" s="355"/>
      <c r="AJ6" s="355"/>
      <c r="AK6" s="355"/>
      <c r="AL6" s="355"/>
      <c r="AM6" s="355"/>
      <c r="AN6" s="355"/>
      <c r="AO6" s="356"/>
      <c r="AP6" s="7"/>
    </row>
    <row r="7" spans="2:42" ht="18.75" customHeight="1" thickBot="1">
      <c r="B7" s="7"/>
      <c r="C7" s="11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362" t="s">
        <v>136</v>
      </c>
      <c r="R7" s="362"/>
      <c r="S7" s="362"/>
      <c r="T7" s="362"/>
      <c r="U7" s="362"/>
      <c r="V7" s="362"/>
      <c r="W7" s="362"/>
      <c r="X7" s="362"/>
      <c r="Y7" s="362"/>
      <c r="Z7" s="362"/>
      <c r="AA7" s="7"/>
      <c r="AB7" s="7"/>
      <c r="AC7" s="7"/>
      <c r="AD7" s="7"/>
      <c r="AE7" s="295"/>
      <c r="AF7" s="296"/>
      <c r="AG7" s="296"/>
      <c r="AH7" s="296"/>
      <c r="AI7" s="296"/>
      <c r="AJ7" s="296"/>
      <c r="AK7" s="296"/>
      <c r="AL7" s="296"/>
      <c r="AM7" s="296"/>
      <c r="AN7" s="296"/>
      <c r="AO7" s="297"/>
      <c r="AP7" s="7"/>
    </row>
    <row r="8" spans="2:42" ht="18.75" customHeight="1">
      <c r="B8" s="7"/>
      <c r="C8" s="11" t="s">
        <v>351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361" t="s">
        <v>140</v>
      </c>
      <c r="R8" s="361"/>
      <c r="S8" s="361"/>
      <c r="T8" s="361"/>
      <c r="U8" s="361"/>
      <c r="V8" s="361"/>
      <c r="W8" s="361"/>
      <c r="X8" s="361"/>
      <c r="Y8" s="361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2:42" ht="18.75" customHeight="1">
      <c r="B9" s="7"/>
      <c r="C9" s="14" t="s">
        <v>295</v>
      </c>
      <c r="D9" s="7"/>
      <c r="E9" s="7"/>
      <c r="F9" s="7"/>
      <c r="G9" s="8"/>
      <c r="H9" s="8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2:42" ht="18.75" customHeight="1">
      <c r="B10" s="7"/>
      <c r="C10" s="14" t="s">
        <v>32</v>
      </c>
      <c r="D10" s="13"/>
      <c r="E10" s="13"/>
      <c r="F10" s="7"/>
      <c r="G10" s="7"/>
      <c r="H10" s="7"/>
      <c r="I10" s="7"/>
      <c r="J10" s="7"/>
      <c r="K10" s="7"/>
      <c r="L10" s="7"/>
      <c r="M10" s="7"/>
      <c r="N10" s="45"/>
      <c r="O10" s="7"/>
      <c r="P10" s="7"/>
      <c r="Q10" s="7"/>
      <c r="R10" s="224" t="s">
        <v>629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2:42" ht="18.75" customHeight="1">
      <c r="B11" s="7"/>
      <c r="C11" s="12" t="s">
        <v>111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45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2:42" ht="18">
      <c r="B12" s="7"/>
      <c r="C12" s="12"/>
      <c r="D12" s="7"/>
      <c r="E12" s="7"/>
      <c r="F12" s="7"/>
      <c r="G12" s="7"/>
      <c r="H12" s="7"/>
      <c r="I12" s="7"/>
      <c r="J12" s="7"/>
      <c r="K12" s="7"/>
      <c r="L12" s="7"/>
      <c r="M12" s="7"/>
      <c r="N12" s="45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2:42" ht="16.5" customHeight="1">
      <c r="B13" s="7"/>
      <c r="C13" s="11" t="s">
        <v>327</v>
      </c>
      <c r="D13" s="7"/>
      <c r="E13" s="7"/>
      <c r="F13" s="330"/>
      <c r="G13" s="330"/>
      <c r="H13" s="7"/>
      <c r="I13" s="7"/>
      <c r="J13" s="7"/>
      <c r="K13" s="7"/>
      <c r="L13" s="40"/>
      <c r="M13" s="40"/>
      <c r="N13" s="40"/>
      <c r="O13" s="190" t="s">
        <v>389</v>
      </c>
      <c r="P13" s="40"/>
      <c r="Q13" s="40"/>
      <c r="R13" s="40"/>
      <c r="S13" s="40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2:42" ht="16.5" customHeight="1">
      <c r="B14" s="7"/>
      <c r="C14" s="11" t="s">
        <v>324</v>
      </c>
      <c r="D14" s="7"/>
      <c r="E14" s="7"/>
      <c r="F14" s="392"/>
      <c r="G14" s="393"/>
      <c r="H14" s="7" t="s">
        <v>329</v>
      </c>
      <c r="I14" s="7"/>
      <c r="J14" s="7"/>
      <c r="K14" s="7"/>
      <c r="L14" s="190" t="s">
        <v>324</v>
      </c>
      <c r="M14" s="40"/>
      <c r="N14" s="40"/>
      <c r="O14" s="396">
        <f>IF(Zwischenwerte!$B$14=1,INDEX(Zwischenwerte!$A$360:$D$382,Zwischenwerte!$C$301,4),INDEX(Zwischenwerte!$A$383:$D$405,Zwischenwerte!$C$301,4))</f>
        <v>65.74106410119398</v>
      </c>
      <c r="P14" s="397"/>
      <c r="Q14" s="40" t="s">
        <v>329</v>
      </c>
      <c r="R14" s="40"/>
      <c r="S14" s="40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2:42" ht="16.5" customHeight="1">
      <c r="B15" s="7"/>
      <c r="C15" s="11" t="s">
        <v>323</v>
      </c>
      <c r="D15" s="7"/>
      <c r="E15" s="7"/>
      <c r="F15" s="391"/>
      <c r="G15" s="391"/>
      <c r="H15" s="15" t="s">
        <v>328</v>
      </c>
      <c r="I15" s="7"/>
      <c r="J15" s="7"/>
      <c r="K15" s="7"/>
      <c r="L15" s="190" t="s">
        <v>323</v>
      </c>
      <c r="M15" s="40"/>
      <c r="N15" s="40"/>
      <c r="O15" s="398">
        <f>IF(Zwischenwerte!$B$14=1,INDEX(Zwischenwerte!$A$360:$D$382,Zwischenwerte!$C$301,3),INDEX(Zwischenwerte!$A$383:$D$405,Zwischenwerte!$C$301,3))</f>
        <v>182.19297742731212</v>
      </c>
      <c r="P15" s="398"/>
      <c r="Q15" s="191" t="s">
        <v>328</v>
      </c>
      <c r="R15" s="40"/>
      <c r="S15" s="40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2:42" ht="16.5" customHeight="1">
      <c r="B16" s="7"/>
      <c r="C16" s="11"/>
      <c r="D16" s="7"/>
      <c r="E16" s="7"/>
      <c r="F16" s="189"/>
      <c r="G16" s="189"/>
      <c r="H16" s="15"/>
      <c r="I16" s="7"/>
      <c r="J16" s="16"/>
      <c r="K16" s="16"/>
      <c r="L16" s="183"/>
      <c r="M16" s="183"/>
      <c r="N16" s="192"/>
      <c r="O16" s="192"/>
      <c r="P16" s="40"/>
      <c r="Q16" s="46"/>
      <c r="R16" s="40"/>
      <c r="S16" s="40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2:42" ht="16.5" customHeight="1">
      <c r="B17" s="7"/>
      <c r="C17" s="325" t="s">
        <v>331</v>
      </c>
      <c r="D17" s="325"/>
      <c r="E17" s="325"/>
      <c r="F17" s="325"/>
      <c r="G17" s="7"/>
      <c r="H17" s="331" t="s">
        <v>28</v>
      </c>
      <c r="I17" s="331"/>
      <c r="J17" s="331"/>
      <c r="K17" s="331"/>
      <c r="L17" s="40"/>
      <c r="M17" s="183"/>
      <c r="N17" s="192"/>
      <c r="O17" s="192"/>
      <c r="P17" s="40"/>
      <c r="Q17" s="46"/>
      <c r="R17" s="40"/>
      <c r="S17" s="40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2:42" ht="16.5" customHeight="1">
      <c r="B18" s="7"/>
      <c r="C18" s="330"/>
      <c r="D18" s="330"/>
      <c r="E18" s="330"/>
      <c r="F18" s="330"/>
      <c r="G18" s="8"/>
      <c r="H18" s="394">
        <f>INDEX(Zwischenwerte!A449:B468,Eingabe!Stufe_Total,2)</f>
        <v>1000</v>
      </c>
      <c r="I18" s="394"/>
      <c r="J18" s="394"/>
      <c r="K18" s="394"/>
      <c r="L18" s="7"/>
      <c r="M18" s="16"/>
      <c r="N18" s="17"/>
      <c r="O18" s="17"/>
      <c r="P18" s="40"/>
      <c r="Q18" s="46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2:42" ht="16.5" customHeight="1">
      <c r="B19" s="7"/>
      <c r="C19" s="7"/>
      <c r="D19" s="325" t="s">
        <v>29</v>
      </c>
      <c r="E19" s="325"/>
      <c r="F19" s="325"/>
      <c r="G19" s="325"/>
      <c r="H19" s="399">
        <f>SUM(Zwischenwerte!B229:B234)-4</f>
        <v>1</v>
      </c>
      <c r="I19" s="399"/>
      <c r="J19" s="40"/>
      <c r="K19" s="46"/>
      <c r="L19" s="7"/>
      <c r="M19" s="16"/>
      <c r="N19" s="17"/>
      <c r="O19" s="17"/>
      <c r="P19" s="40"/>
      <c r="Q19" s="46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2:42" ht="16.5" customHeight="1">
      <c r="B20" s="7"/>
      <c r="C20" s="11"/>
      <c r="D20" s="7"/>
      <c r="E20" s="7"/>
      <c r="F20" s="189"/>
      <c r="G20" s="189"/>
      <c r="H20" s="15"/>
      <c r="I20" s="7"/>
      <c r="J20" s="16"/>
      <c r="K20" s="16"/>
      <c r="L20" s="16"/>
      <c r="M20" s="16"/>
      <c r="N20" s="17"/>
      <c r="O20" s="17"/>
      <c r="P20" s="40"/>
      <c r="Q20" s="46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2:42" ht="16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2:42" ht="16.5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2:42" ht="16.5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2:42" ht="16.5" customHeight="1">
      <c r="B24" s="7"/>
      <c r="C24" s="7"/>
      <c r="D24" s="313" t="s">
        <v>330</v>
      </c>
      <c r="E24" s="224"/>
      <c r="F24" s="224"/>
      <c r="G24" s="224"/>
      <c r="H24" s="224"/>
      <c r="I24" s="224"/>
      <c r="J24" s="313" t="s">
        <v>135</v>
      </c>
      <c r="K24" s="224"/>
      <c r="L24" s="224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2:42" ht="16.5" customHeight="1">
      <c r="B25" s="7"/>
      <c r="C25" s="7"/>
      <c r="D25" s="7"/>
      <c r="E25" s="7"/>
      <c r="F25" s="7"/>
      <c r="G25" s="7"/>
      <c r="H25" s="7"/>
      <c r="I25" s="7"/>
      <c r="J25" s="7"/>
      <c r="K25" s="7" t="s">
        <v>30</v>
      </c>
      <c r="L25" s="390">
        <f>INDEX(Zwischenwerte!$F$193:$F$225,Zwischenwerte!$E193,1)</f>
        <v>0</v>
      </c>
      <c r="M25" s="390"/>
      <c r="N25" s="267" t="s">
        <v>497</v>
      </c>
      <c r="O25" s="390">
        <f>INDEX(Zwischenwerte!$G$193:$G$225,Zwischenwerte!$E193,1)</f>
        <v>0</v>
      </c>
      <c r="P25" s="390"/>
      <c r="Q25" s="7"/>
      <c r="R25" s="365" t="s">
        <v>146</v>
      </c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2:42" ht="16.5" customHeight="1">
      <c r="B26" s="7"/>
      <c r="C26" s="7"/>
      <c r="D26" s="7"/>
      <c r="E26" s="7"/>
      <c r="F26" s="7"/>
      <c r="G26" s="7"/>
      <c r="H26" s="7"/>
      <c r="I26" s="7"/>
      <c r="J26" s="7"/>
      <c r="K26" s="7" t="s">
        <v>30</v>
      </c>
      <c r="L26" s="390">
        <f>INDEX(Zwischenwerte!$F$193:$F$225,Zwischenwerte!$E194,1)</f>
        <v>0</v>
      </c>
      <c r="M26" s="390"/>
      <c r="N26" s="267" t="s">
        <v>497</v>
      </c>
      <c r="O26" s="390">
        <f>INDEX(Zwischenwerte!$G$193:$G$225,Zwischenwerte!$E194,1)</f>
        <v>0</v>
      </c>
      <c r="P26" s="390"/>
      <c r="Q26" s="7"/>
      <c r="R26" s="361" t="s">
        <v>147</v>
      </c>
      <c r="S26" s="361"/>
      <c r="T26" s="361"/>
      <c r="U26" s="361"/>
      <c r="V26" s="361"/>
      <c r="W26" s="361"/>
      <c r="X26" s="361"/>
      <c r="Y26" s="361"/>
      <c r="Z26" s="361"/>
      <c r="AA26" s="361"/>
      <c r="AB26" s="361"/>
      <c r="AC26" s="361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2:42" ht="16.5" customHeight="1">
      <c r="B27" s="7"/>
      <c r="C27" s="7"/>
      <c r="D27" s="7"/>
      <c r="E27" s="7"/>
      <c r="F27" s="7"/>
      <c r="G27" s="7"/>
      <c r="H27" s="7"/>
      <c r="I27" s="7"/>
      <c r="J27" s="7"/>
      <c r="K27" s="7" t="s">
        <v>30</v>
      </c>
      <c r="L27" s="390">
        <f>INDEX(Zwischenwerte!$F$193:$F$225,Zwischenwerte!$E195,1)</f>
        <v>0</v>
      </c>
      <c r="M27" s="390"/>
      <c r="N27" s="267" t="s">
        <v>497</v>
      </c>
      <c r="O27" s="390">
        <f>INDEX(Zwischenwerte!$G$193:$G$225,Zwischenwerte!$E195,1)</f>
        <v>0</v>
      </c>
      <c r="P27" s="390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2:42" ht="16.5" customHeight="1">
      <c r="B28" s="7"/>
      <c r="C28" s="7"/>
      <c r="D28" s="7"/>
      <c r="E28" s="7"/>
      <c r="F28" s="7"/>
      <c r="G28" s="7"/>
      <c r="H28" s="7"/>
      <c r="I28" s="7"/>
      <c r="J28" s="7"/>
      <c r="K28" s="7" t="s">
        <v>30</v>
      </c>
      <c r="L28" s="390">
        <f>INDEX(Zwischenwerte!$F$193:$F$225,Zwischenwerte!$E196,1)</f>
        <v>0</v>
      </c>
      <c r="M28" s="390"/>
      <c r="N28" s="267" t="s">
        <v>497</v>
      </c>
      <c r="O28" s="390">
        <f>INDEX(Zwischenwerte!$G$193:$G$225,Zwischenwerte!$E196,1)</f>
        <v>0</v>
      </c>
      <c r="P28" s="390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2:42" ht="16.5" customHeight="1">
      <c r="B29" s="7"/>
      <c r="C29" s="7"/>
      <c r="D29" s="7"/>
      <c r="E29" s="7"/>
      <c r="F29" s="7"/>
      <c r="G29" s="7"/>
      <c r="H29" s="7"/>
      <c r="I29" s="8"/>
      <c r="J29" s="8"/>
      <c r="K29" s="8"/>
      <c r="L29" s="8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2:42" ht="16.5" customHeight="1">
      <c r="B30" s="420" t="str">
        <f>INDEX(Zwischenwerte!$A$193:$D$221,Zwischenwerte!$E$193,1)</f>
        <v>Keine</v>
      </c>
      <c r="C30" s="421"/>
      <c r="D30" s="421"/>
      <c r="E30" s="421"/>
      <c r="F30" s="421"/>
      <c r="G30" s="421"/>
      <c r="H30" s="421"/>
      <c r="I30" s="421"/>
      <c r="J30" s="275"/>
      <c r="K30" s="275"/>
      <c r="L30" s="421">
        <f>INDEX(Zwischenwerte!$A$193:$D$221,Zwischenwerte!$E$193,2)</f>
        <v>0</v>
      </c>
      <c r="M30" s="421"/>
      <c r="N30" s="421">
        <f>INDEX(Zwischenwerte!$A$193:$D$221,Zwischenwerte!$E$193,3)</f>
        <v>0</v>
      </c>
      <c r="O30" s="421"/>
      <c r="P30" s="276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2:42" ht="16.5" customHeight="1">
      <c r="B31" s="413">
        <f>INDEX(Zwischenwerte!$A$193:$D$221,Zwischenwerte!$E$193,4)</f>
        <v>0</v>
      </c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5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2:42" ht="16.5" customHeight="1">
      <c r="B32" s="416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5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2:42" ht="16.5" customHeight="1">
      <c r="B33" s="416"/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5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2:42" ht="16.5" customHeight="1">
      <c r="B34" s="416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5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</row>
    <row r="35" spans="2:42" ht="16.5" customHeight="1">
      <c r="B35" s="417"/>
      <c r="C35" s="418"/>
      <c r="D35" s="418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9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</row>
    <row r="36" spans="2:42" ht="16.5" customHeight="1">
      <c r="B36" s="7"/>
      <c r="C36" s="313" t="s">
        <v>99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65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2:42" ht="16.5" customHeight="1">
      <c r="B37" s="388"/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 spans="2:42" ht="16.5" customHeight="1"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388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2:42" ht="16.5" customHeight="1">
      <c r="B39" s="388"/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  <c r="Q39" s="388"/>
      <c r="R39" s="388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2:42" ht="16.5" customHeight="1">
      <c r="B40" s="388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2:42" ht="16.5" customHeight="1">
      <c r="B41" s="388"/>
      <c r="C41" s="388"/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2:42" ht="16.5" customHeight="1"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2:42" ht="16.5" customHeight="1">
      <c r="B43" s="388"/>
      <c r="C43" s="388"/>
      <c r="D43" s="388"/>
      <c r="E43" s="388"/>
      <c r="F43" s="388"/>
      <c r="G43" s="388"/>
      <c r="H43" s="388"/>
      <c r="I43" s="388"/>
      <c r="J43" s="388"/>
      <c r="K43" s="388"/>
      <c r="L43" s="388"/>
      <c r="M43" s="388"/>
      <c r="N43" s="388"/>
      <c r="O43" s="388"/>
      <c r="P43" s="388"/>
      <c r="Q43" s="388"/>
      <c r="R43" s="388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</row>
    <row r="44" spans="2:42" ht="16.5" customHeight="1">
      <c r="B44" s="388"/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2:42" ht="16.5" customHeight="1">
      <c r="B45" s="388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Q45" s="388"/>
      <c r="R45" s="388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 spans="2:42" ht="16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40"/>
      <c r="AI46" s="40"/>
      <c r="AJ46" s="7"/>
      <c r="AK46" s="7"/>
      <c r="AL46" s="7"/>
      <c r="AM46" s="7"/>
      <c r="AN46" s="7"/>
      <c r="AO46" s="7"/>
      <c r="AP46" s="7"/>
    </row>
    <row r="47" spans="2:42" ht="16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40"/>
      <c r="AH47" s="40"/>
      <c r="AI47" s="40"/>
      <c r="AJ47" s="7"/>
      <c r="AK47" s="7"/>
      <c r="AL47" s="7"/>
      <c r="AM47" s="7"/>
      <c r="AN47" s="7"/>
      <c r="AO47" s="7"/>
      <c r="AP47" s="7"/>
    </row>
    <row r="48" spans="2:42" ht="16.5" customHeight="1">
      <c r="B48" s="7"/>
      <c r="C48" s="7"/>
      <c r="D48" s="313" t="s">
        <v>332</v>
      </c>
      <c r="E48" s="313"/>
      <c r="F48" s="313"/>
      <c r="G48" s="313"/>
      <c r="H48" s="313"/>
      <c r="I48" s="7"/>
      <c r="J48" s="7"/>
      <c r="K48" s="7"/>
      <c r="L48" s="325" t="s">
        <v>336</v>
      </c>
      <c r="M48" s="325"/>
      <c r="N48" s="7"/>
      <c r="O48" s="7"/>
      <c r="P48" s="211" t="s">
        <v>389</v>
      </c>
      <c r="Q48" s="211"/>
      <c r="R48" s="7"/>
      <c r="S48" s="211"/>
      <c r="T48" s="211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40"/>
      <c r="AM48" s="40"/>
      <c r="AN48" s="40"/>
      <c r="AO48" s="7"/>
      <c r="AP48" s="7"/>
    </row>
    <row r="49" spans="2:42" ht="16.5" customHeight="1">
      <c r="B49" s="7"/>
      <c r="C49" s="11" t="s">
        <v>333</v>
      </c>
      <c r="D49" s="7"/>
      <c r="E49" s="7"/>
      <c r="F49" s="7"/>
      <c r="G49" s="7"/>
      <c r="H49" s="40"/>
      <c r="I49" s="387"/>
      <c r="J49" s="387"/>
      <c r="K49" s="40"/>
      <c r="L49" s="333">
        <f>INDEX(Zwischenwerte!$A$253:$B$278,Zwischenwerte!$C253,2)</f>
        <v>-4</v>
      </c>
      <c r="M49" s="333"/>
      <c r="N49" s="40"/>
      <c r="O49" s="40"/>
      <c r="P49" s="342">
        <f>Zwischenwerte!A412</f>
        <v>14.764511977918074</v>
      </c>
      <c r="Q49" s="343"/>
      <c r="R49" s="8"/>
      <c r="S49" s="331"/>
      <c r="T49" s="331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40"/>
      <c r="AM49" s="40"/>
      <c r="AN49" s="40"/>
      <c r="AO49" s="7"/>
      <c r="AP49" s="7"/>
    </row>
    <row r="50" spans="2:42" ht="16.5" customHeight="1">
      <c r="B50" s="7"/>
      <c r="C50" s="11" t="s">
        <v>194</v>
      </c>
      <c r="D50" s="7"/>
      <c r="E50" s="7"/>
      <c r="F50" s="7"/>
      <c r="G50" s="7"/>
      <c r="H50" s="40"/>
      <c r="I50" s="387"/>
      <c r="J50" s="387"/>
      <c r="K50" s="40"/>
      <c r="L50" s="333">
        <f>INDEX(Zwischenwerte!$A$253:$B$278,Zwischenwerte!$C254,2)</f>
        <v>-4</v>
      </c>
      <c r="M50" s="333"/>
      <c r="N50" s="40"/>
      <c r="O50" s="40"/>
      <c r="P50" s="342">
        <f>Zwischenwerte!B412</f>
        <v>14.141476749903704</v>
      </c>
      <c r="Q50" s="343"/>
      <c r="R50" s="8"/>
      <c r="S50" s="331"/>
      <c r="T50" s="331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40"/>
      <c r="AM50" s="40"/>
      <c r="AN50" s="40"/>
      <c r="AO50" s="7"/>
      <c r="AP50" s="7"/>
    </row>
    <row r="51" spans="2:42" ht="16.5" customHeight="1">
      <c r="B51" s="7"/>
      <c r="C51" s="11" t="s">
        <v>335</v>
      </c>
      <c r="D51" s="7"/>
      <c r="E51" s="7"/>
      <c r="F51" s="7"/>
      <c r="G51" s="7"/>
      <c r="H51" s="40"/>
      <c r="I51" s="387"/>
      <c r="J51" s="387"/>
      <c r="K51" s="40"/>
      <c r="L51" s="333">
        <f>INDEX(Zwischenwerte!$A$253:$B$278,Zwischenwerte!$C255,2)</f>
        <v>-4</v>
      </c>
      <c r="M51" s="333"/>
      <c r="N51" s="40"/>
      <c r="O51" s="40"/>
      <c r="P51" s="342">
        <f>Zwischenwerte!C$412</f>
        <v>11.479188363045797</v>
      </c>
      <c r="Q51" s="343"/>
      <c r="R51" s="8"/>
      <c r="S51" s="331"/>
      <c r="T51" s="331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40"/>
      <c r="AM51" s="40"/>
      <c r="AN51" s="40"/>
      <c r="AO51" s="7"/>
      <c r="AP51" s="7"/>
    </row>
    <row r="52" spans="2:42" ht="16.5" customHeight="1">
      <c r="B52" s="7"/>
      <c r="C52" s="11" t="s">
        <v>133</v>
      </c>
      <c r="D52" s="7"/>
      <c r="E52" s="7"/>
      <c r="F52" s="7"/>
      <c r="G52" s="7"/>
      <c r="H52" s="40"/>
      <c r="I52" s="387"/>
      <c r="J52" s="387"/>
      <c r="K52" s="40"/>
      <c r="L52" s="333">
        <f>INDEX(Zwischenwerte!$A$253:$B$278,Zwischenwerte!$C256,2)</f>
        <v>-4</v>
      </c>
      <c r="M52" s="333"/>
      <c r="N52" s="40"/>
      <c r="O52" s="40"/>
      <c r="P52" s="342">
        <f>Zwischenwerte!D$412</f>
        <v>11.430115342056112</v>
      </c>
      <c r="Q52" s="343"/>
      <c r="R52" s="8"/>
      <c r="S52" s="331"/>
      <c r="T52" s="331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40"/>
      <c r="AM52" s="40"/>
      <c r="AN52" s="40"/>
      <c r="AO52" s="7"/>
      <c r="AP52" s="7"/>
    </row>
    <row r="53" spans="2:42" ht="16.5" customHeight="1">
      <c r="B53" s="7"/>
      <c r="C53" s="11" t="s">
        <v>334</v>
      </c>
      <c r="D53" s="7"/>
      <c r="E53" s="7"/>
      <c r="F53" s="7"/>
      <c r="G53" s="7"/>
      <c r="H53" s="40"/>
      <c r="I53" s="387"/>
      <c r="J53" s="387"/>
      <c r="K53" s="40"/>
      <c r="L53" s="333">
        <f>INDEX(Zwischenwerte!$A$253:$B$278,Zwischenwerte!$C257,2)</f>
        <v>-4</v>
      </c>
      <c r="M53" s="333"/>
      <c r="N53" s="40"/>
      <c r="O53" s="40"/>
      <c r="P53" s="342">
        <f>Zwischenwerte!E$412</f>
        <v>13.083821829157525</v>
      </c>
      <c r="Q53" s="343"/>
      <c r="R53" s="8"/>
      <c r="S53" s="331"/>
      <c r="T53" s="33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40"/>
      <c r="AM53" s="40"/>
      <c r="AN53" s="40"/>
      <c r="AO53" s="7"/>
      <c r="AP53" s="7"/>
    </row>
    <row r="54" spans="2:42" ht="16.5" customHeight="1">
      <c r="B54" s="7"/>
      <c r="C54" s="11" t="s">
        <v>241</v>
      </c>
      <c r="D54" s="7"/>
      <c r="E54" s="7"/>
      <c r="F54" s="7"/>
      <c r="G54" s="7"/>
      <c r="H54" s="40"/>
      <c r="I54" s="387"/>
      <c r="J54" s="387"/>
      <c r="K54" s="40"/>
      <c r="L54" s="333">
        <f>INDEX(Zwischenwerte!$A$253:$B$278,Zwischenwerte!$C258,2)</f>
        <v>-4</v>
      </c>
      <c r="M54" s="333"/>
      <c r="N54" s="40"/>
      <c r="O54" s="40"/>
      <c r="P54" s="342">
        <f>Zwischenwerte!F$412</f>
        <v>14.078117530429559</v>
      </c>
      <c r="Q54" s="343"/>
      <c r="R54" s="8"/>
      <c r="S54" s="331"/>
      <c r="T54" s="331"/>
      <c r="U54" s="7"/>
      <c r="V54" s="7"/>
      <c r="W54" s="40"/>
      <c r="X54" s="40"/>
      <c r="Y54" s="40"/>
      <c r="Z54" s="7"/>
      <c r="AA54" s="7"/>
      <c r="AB54" s="7"/>
      <c r="AC54" s="7"/>
      <c r="AD54" s="7"/>
      <c r="AE54" s="7"/>
      <c r="AF54" s="7"/>
      <c r="AG54" s="7"/>
      <c r="AH54" s="7"/>
      <c r="AI54" s="65"/>
      <c r="AJ54" s="65"/>
      <c r="AK54" s="65"/>
      <c r="AL54" s="40"/>
      <c r="AM54" s="40"/>
      <c r="AN54" s="40"/>
      <c r="AO54" s="7"/>
      <c r="AP54" s="7"/>
    </row>
    <row r="55" spans="2:42" ht="16.5" customHeight="1">
      <c r="B55" s="7"/>
      <c r="C55" s="11" t="s">
        <v>31</v>
      </c>
      <c r="D55" s="7"/>
      <c r="E55" s="7"/>
      <c r="F55" s="7"/>
      <c r="G55" s="7"/>
      <c r="H55" s="40"/>
      <c r="I55" s="40"/>
      <c r="J55" s="40"/>
      <c r="K55" s="40"/>
      <c r="L55" s="333">
        <f>INDEX(Zwischenwerte!$A$253:$B$278,Zwischenwerte!$C259,2)</f>
        <v>-4</v>
      </c>
      <c r="M55" s="333"/>
      <c r="N55" s="40"/>
      <c r="O55" s="40"/>
      <c r="P55" s="342">
        <f>Zwischenwerte!F$412</f>
        <v>14.078117530429559</v>
      </c>
      <c r="Q55" s="343"/>
      <c r="R55" s="7"/>
      <c r="S55" s="7"/>
      <c r="T55" s="7"/>
      <c r="U55" s="7"/>
      <c r="V55" s="8"/>
      <c r="W55" s="40"/>
      <c r="X55" s="40"/>
      <c r="Y55" s="40"/>
      <c r="Z55" s="7"/>
      <c r="AA55" s="7"/>
      <c r="AB55" s="7"/>
      <c r="AC55" s="7"/>
      <c r="AD55" s="7"/>
      <c r="AE55" s="7"/>
      <c r="AF55" s="7"/>
      <c r="AG55" s="7"/>
      <c r="AH55" s="7"/>
      <c r="AI55" s="40"/>
      <c r="AJ55" s="40"/>
      <c r="AK55" s="40"/>
      <c r="AL55" s="40"/>
      <c r="AM55" s="40"/>
      <c r="AN55" s="40"/>
      <c r="AO55" s="7"/>
      <c r="AP55" s="7"/>
    </row>
    <row r="56" spans="2:42" ht="16.5" customHeight="1">
      <c r="B56" s="7"/>
      <c r="C56" s="40"/>
      <c r="D56" s="313" t="s">
        <v>338</v>
      </c>
      <c r="E56" s="40"/>
      <c r="F56" s="7"/>
      <c r="G56" s="7"/>
      <c r="H56" s="7"/>
      <c r="I56" s="7"/>
      <c r="J56" s="7"/>
      <c r="K56" s="7"/>
      <c r="L56" s="7"/>
      <c r="M56" s="7"/>
      <c r="N56" s="7"/>
      <c r="O56" s="40"/>
      <c r="P56" s="40"/>
      <c r="Q56" s="40"/>
      <c r="R56" s="7"/>
      <c r="S56" s="7"/>
      <c r="T56" s="7"/>
      <c r="U56" s="7"/>
      <c r="V56" s="8"/>
      <c r="W56" s="40"/>
      <c r="X56" s="40"/>
      <c r="Y56" s="40"/>
      <c r="Z56" s="7"/>
      <c r="AA56" s="7"/>
      <c r="AB56" s="7"/>
      <c r="AC56" s="7"/>
      <c r="AD56" s="7"/>
      <c r="AE56" s="7"/>
      <c r="AF56" s="7"/>
      <c r="AG56" s="7"/>
      <c r="AH56" s="7"/>
      <c r="AI56" s="40"/>
      <c r="AJ56" s="40"/>
      <c r="AK56" s="40"/>
      <c r="AL56" s="40"/>
      <c r="AM56" s="40"/>
      <c r="AN56" s="40"/>
      <c r="AO56" s="7"/>
      <c r="AP56" s="7"/>
    </row>
    <row r="57" spans="2:42" ht="16.5" customHeight="1">
      <c r="B57" s="7"/>
      <c r="C57" s="375" t="s">
        <v>340</v>
      </c>
      <c r="D57" s="385"/>
      <c r="E57" s="385"/>
      <c r="F57" s="7"/>
      <c r="G57" s="279" t="s">
        <v>120</v>
      </c>
      <c r="H57" s="280"/>
      <c r="I57" s="19"/>
      <c r="J57" s="300"/>
      <c r="K57" s="298"/>
      <c r="L57" s="19"/>
      <c r="M57" s="331" t="s">
        <v>114</v>
      </c>
      <c r="N57" s="384"/>
      <c r="O57" s="65"/>
      <c r="P57" s="389"/>
      <c r="Q57" s="389"/>
      <c r="R57" s="7"/>
      <c r="S57" s="7"/>
      <c r="T57" s="7"/>
      <c r="U57" s="7"/>
      <c r="V57" s="8"/>
      <c r="W57" s="40"/>
      <c r="X57" s="40"/>
      <c r="Y57" s="40"/>
      <c r="Z57" s="7"/>
      <c r="AA57" s="7"/>
      <c r="AB57" s="7"/>
      <c r="AC57" s="7"/>
      <c r="AD57" s="7"/>
      <c r="AE57" s="7"/>
      <c r="AF57" s="7"/>
      <c r="AG57" s="7"/>
      <c r="AH57" s="7"/>
      <c r="AI57" s="40"/>
      <c r="AJ57" s="40"/>
      <c r="AK57" s="40"/>
      <c r="AL57" s="40"/>
      <c r="AM57" s="40"/>
      <c r="AN57" s="40"/>
      <c r="AO57" s="7"/>
      <c r="AP57" s="7"/>
    </row>
    <row r="58" spans="2:42" ht="16.5" customHeight="1">
      <c r="B58" s="7"/>
      <c r="C58" s="342">
        <f>SUM(G58,J58,M58,P58)</f>
        <v>-4</v>
      </c>
      <c r="D58" s="342"/>
      <c r="E58" s="342"/>
      <c r="F58" s="22" t="s">
        <v>344</v>
      </c>
      <c r="G58" s="330"/>
      <c r="H58" s="330"/>
      <c r="I58" s="278" t="s">
        <v>345</v>
      </c>
      <c r="J58" s="332">
        <f>Konstitution_Mod</f>
        <v>-4</v>
      </c>
      <c r="K58" s="332"/>
      <c r="L58" s="22" t="s">
        <v>345</v>
      </c>
      <c r="M58" s="330"/>
      <c r="N58" s="330"/>
      <c r="O58" s="66"/>
      <c r="P58" s="381"/>
      <c r="Q58" s="381"/>
      <c r="R58" s="7"/>
      <c r="S58" s="7"/>
      <c r="T58" s="7"/>
      <c r="U58" s="7"/>
      <c r="V58" s="8"/>
      <c r="W58" s="40"/>
      <c r="X58" s="40"/>
      <c r="Y58" s="40"/>
      <c r="Z58" s="7"/>
      <c r="AA58" s="7"/>
      <c r="AB58" s="7"/>
      <c r="AC58" s="7"/>
      <c r="AD58" s="7"/>
      <c r="AE58" s="7"/>
      <c r="AF58" s="7"/>
      <c r="AG58" s="7"/>
      <c r="AH58" s="7"/>
      <c r="AI58" s="40"/>
      <c r="AJ58" s="40"/>
      <c r="AK58" s="40"/>
      <c r="AL58" s="40"/>
      <c r="AM58" s="40"/>
      <c r="AN58" s="40"/>
      <c r="AO58" s="7"/>
      <c r="AP58" s="7"/>
    </row>
    <row r="59" spans="2:42" ht="16.5" customHeight="1">
      <c r="B59" s="7"/>
      <c r="C59" s="375" t="s">
        <v>339</v>
      </c>
      <c r="D59" s="376"/>
      <c r="E59" s="376"/>
      <c r="F59" s="7"/>
      <c r="G59" s="401" t="s">
        <v>341</v>
      </c>
      <c r="H59" s="384"/>
      <c r="I59" s="277"/>
      <c r="J59" s="382" t="s">
        <v>26</v>
      </c>
      <c r="K59" s="383"/>
      <c r="L59" s="19"/>
      <c r="M59" s="331" t="s">
        <v>114</v>
      </c>
      <c r="N59" s="384"/>
      <c r="O59" s="65"/>
      <c r="P59" s="389"/>
      <c r="Q59" s="389"/>
      <c r="R59" s="7"/>
      <c r="S59" s="7"/>
      <c r="T59" s="7"/>
      <c r="U59" s="7"/>
      <c r="V59" s="8"/>
      <c r="W59" s="40"/>
      <c r="X59" s="40"/>
      <c r="Y59" s="40"/>
      <c r="Z59" s="7"/>
      <c r="AA59" s="7"/>
      <c r="AB59" s="7"/>
      <c r="AC59" s="7"/>
      <c r="AD59" s="7"/>
      <c r="AE59" s="7"/>
      <c r="AF59" s="7"/>
      <c r="AG59" s="7"/>
      <c r="AH59" s="7"/>
      <c r="AI59" s="40"/>
      <c r="AJ59" s="40"/>
      <c r="AK59" s="40"/>
      <c r="AL59" s="40"/>
      <c r="AM59" s="40"/>
      <c r="AN59" s="40"/>
      <c r="AO59" s="7"/>
      <c r="AP59" s="7"/>
    </row>
    <row r="60" spans="2:42" ht="16.5" customHeight="1">
      <c r="B60" s="7"/>
      <c r="C60" s="342">
        <f>SUM(G60,J60,M60,P60)</f>
        <v>-4</v>
      </c>
      <c r="D60" s="342"/>
      <c r="E60" s="342"/>
      <c r="F60" s="22" t="s">
        <v>344</v>
      </c>
      <c r="G60" s="330"/>
      <c r="H60" s="330"/>
      <c r="I60" s="278" t="s">
        <v>345</v>
      </c>
      <c r="J60" s="332">
        <f>Geschicklichkeit_Mod</f>
        <v>-4</v>
      </c>
      <c r="K60" s="332"/>
      <c r="L60" s="22" t="s">
        <v>345</v>
      </c>
      <c r="M60" s="330"/>
      <c r="N60" s="330"/>
      <c r="O60" s="66"/>
      <c r="P60" s="381"/>
      <c r="Q60" s="381"/>
      <c r="R60" s="7"/>
      <c r="S60" s="7"/>
      <c r="T60" s="7"/>
      <c r="U60" s="7"/>
      <c r="V60" s="8"/>
      <c r="W60" s="40"/>
      <c r="X60" s="40"/>
      <c r="Y60" s="40"/>
      <c r="Z60" s="7"/>
      <c r="AA60" s="7"/>
      <c r="AB60" s="7"/>
      <c r="AC60" s="7"/>
      <c r="AD60" s="7"/>
      <c r="AE60" s="7"/>
      <c r="AF60" s="7"/>
      <c r="AG60" s="7"/>
      <c r="AH60" s="7"/>
      <c r="AI60" s="40"/>
      <c r="AJ60" s="40"/>
      <c r="AK60" s="40"/>
      <c r="AL60" s="40"/>
      <c r="AM60" s="40"/>
      <c r="AN60" s="40"/>
      <c r="AO60" s="7"/>
      <c r="AP60" s="7"/>
    </row>
    <row r="61" spans="2:42" ht="16.5" customHeight="1">
      <c r="B61" s="7"/>
      <c r="C61" s="375" t="s">
        <v>343</v>
      </c>
      <c r="D61" s="376"/>
      <c r="E61" s="376"/>
      <c r="F61" s="7"/>
      <c r="G61" s="401" t="s">
        <v>341</v>
      </c>
      <c r="H61" s="384"/>
      <c r="I61" s="277"/>
      <c r="J61" s="382" t="s">
        <v>26</v>
      </c>
      <c r="K61" s="383"/>
      <c r="L61" s="19"/>
      <c r="M61" s="331" t="s">
        <v>114</v>
      </c>
      <c r="N61" s="384"/>
      <c r="O61" s="65"/>
      <c r="P61" s="389"/>
      <c r="Q61" s="389"/>
      <c r="R61" s="7"/>
      <c r="S61" s="7"/>
      <c r="T61" s="7"/>
      <c r="U61" s="7"/>
      <c r="V61" s="8"/>
      <c r="W61" s="40"/>
      <c r="X61" s="40"/>
      <c r="Y61" s="40"/>
      <c r="Z61" s="7"/>
      <c r="AA61" s="7"/>
      <c r="AB61" s="7"/>
      <c r="AC61" s="7"/>
      <c r="AD61" s="7"/>
      <c r="AE61" s="7"/>
      <c r="AF61" s="7"/>
      <c r="AG61" s="7"/>
      <c r="AH61" s="7"/>
      <c r="AI61" s="40"/>
      <c r="AJ61" s="40"/>
      <c r="AK61" s="40"/>
      <c r="AL61" s="40"/>
      <c r="AM61" s="40"/>
      <c r="AN61" s="40"/>
      <c r="AO61" s="7"/>
      <c r="AP61" s="7"/>
    </row>
    <row r="62" spans="2:42" ht="16.5" customHeight="1">
      <c r="B62" s="7"/>
      <c r="C62" s="342">
        <f>SUM(G62,J62,M62,P62)</f>
        <v>-4</v>
      </c>
      <c r="D62" s="342"/>
      <c r="E62" s="342"/>
      <c r="F62" s="22" t="s">
        <v>344</v>
      </c>
      <c r="G62" s="330"/>
      <c r="H62" s="330"/>
      <c r="I62" s="278" t="s">
        <v>345</v>
      </c>
      <c r="J62" s="332">
        <f>Weisheit_Mod</f>
        <v>-4</v>
      </c>
      <c r="K62" s="332"/>
      <c r="L62" s="22" t="s">
        <v>345</v>
      </c>
      <c r="M62" s="330"/>
      <c r="N62" s="330"/>
      <c r="O62" s="66"/>
      <c r="P62" s="381"/>
      <c r="Q62" s="381"/>
      <c r="R62" s="7"/>
      <c r="S62" s="7"/>
      <c r="T62" s="7"/>
      <c r="U62" s="7"/>
      <c r="V62" s="8"/>
      <c r="W62" s="40"/>
      <c r="X62" s="40"/>
      <c r="Y62" s="40"/>
      <c r="Z62" s="7"/>
      <c r="AA62" s="7"/>
      <c r="AB62" s="7"/>
      <c r="AC62" s="7"/>
      <c r="AD62" s="7"/>
      <c r="AE62" s="7"/>
      <c r="AF62" s="7"/>
      <c r="AG62" s="7"/>
      <c r="AH62" s="7"/>
      <c r="AI62" s="40"/>
      <c r="AJ62" s="40"/>
      <c r="AK62" s="40"/>
      <c r="AL62" s="40"/>
      <c r="AM62" s="40"/>
      <c r="AN62" s="40"/>
      <c r="AO62" s="7"/>
      <c r="AP62" s="7"/>
    </row>
    <row r="63" spans="2:42" ht="16.5" customHeight="1">
      <c r="B63" s="7"/>
      <c r="C63" s="7"/>
      <c r="D63" s="7"/>
      <c r="E63" s="7"/>
      <c r="F63" s="7"/>
      <c r="G63" s="261"/>
      <c r="H63" s="271"/>
      <c r="I63" s="271"/>
      <c r="J63" s="271"/>
      <c r="K63" s="271"/>
      <c r="L63" s="40"/>
      <c r="M63" s="40"/>
      <c r="N63" s="40"/>
      <c r="O63" s="40"/>
      <c r="P63" s="40"/>
      <c r="Q63" s="40"/>
      <c r="R63" s="7"/>
      <c r="S63" s="7"/>
      <c r="T63" s="7"/>
      <c r="U63" s="7"/>
      <c r="V63" s="8"/>
      <c r="W63" s="40"/>
      <c r="X63" s="40"/>
      <c r="Y63" s="40"/>
      <c r="Z63" s="7"/>
      <c r="AA63" s="7"/>
      <c r="AB63" s="7"/>
      <c r="AC63" s="7"/>
      <c r="AD63" s="7"/>
      <c r="AE63" s="7"/>
      <c r="AF63" s="7"/>
      <c r="AG63" s="7"/>
      <c r="AH63" s="7"/>
      <c r="AI63" s="40"/>
      <c r="AJ63" s="40"/>
      <c r="AK63" s="40"/>
      <c r="AL63" s="40"/>
      <c r="AM63" s="40"/>
      <c r="AN63" s="40"/>
      <c r="AO63" s="7"/>
      <c r="AP63" s="7"/>
    </row>
    <row r="64" spans="2:42" ht="16.5" customHeight="1">
      <c r="B64" s="7"/>
      <c r="C64" s="7"/>
      <c r="D64" s="313" t="s">
        <v>346</v>
      </c>
      <c r="E64" s="7"/>
      <c r="F64" s="7"/>
      <c r="G64" s="7"/>
      <c r="H64" s="7"/>
      <c r="I64" s="7"/>
      <c r="J64" s="40"/>
      <c r="K64" s="40"/>
      <c r="L64" s="40"/>
      <c r="M64" s="40"/>
      <c r="N64" s="40"/>
      <c r="O64" s="40"/>
      <c r="P64" s="40"/>
      <c r="Q64" s="40"/>
      <c r="R64" s="7"/>
      <c r="S64" s="7"/>
      <c r="T64" s="7"/>
      <c r="U64" s="7"/>
      <c r="V64" s="8"/>
      <c r="W64" s="40"/>
      <c r="X64" s="40"/>
      <c r="Y64" s="40"/>
      <c r="Z64" s="7"/>
      <c r="AA64" s="7"/>
      <c r="AB64" s="7"/>
      <c r="AC64" s="7"/>
      <c r="AD64" s="7"/>
      <c r="AE64" s="7"/>
      <c r="AF64" s="7"/>
      <c r="AG64" s="7"/>
      <c r="AH64" s="7"/>
      <c r="AI64" s="40"/>
      <c r="AJ64" s="40"/>
      <c r="AK64" s="40"/>
      <c r="AL64" s="40"/>
      <c r="AM64" s="40"/>
      <c r="AN64" s="40"/>
      <c r="AO64" s="7"/>
      <c r="AP64" s="7"/>
    </row>
    <row r="65" spans="2:42" ht="16.5" customHeight="1">
      <c r="B65" s="7"/>
      <c r="C65" s="11" t="s">
        <v>75</v>
      </c>
      <c r="D65" s="7"/>
      <c r="E65" s="7"/>
      <c r="F65" s="7"/>
      <c r="G65" s="7"/>
      <c r="H65" s="330">
        <v>5</v>
      </c>
      <c r="I65" s="330"/>
      <c r="J65" s="40"/>
      <c r="K65" s="40"/>
      <c r="L65" s="40"/>
      <c r="M65" s="40"/>
      <c r="N65" s="40"/>
      <c r="O65" s="40"/>
      <c r="P65" s="40"/>
      <c r="Q65" s="40"/>
      <c r="R65" s="7"/>
      <c r="S65" s="7"/>
      <c r="T65" s="7"/>
      <c r="U65" s="7"/>
      <c r="V65" s="8"/>
      <c r="W65" s="40"/>
      <c r="X65" s="40"/>
      <c r="Y65" s="40"/>
      <c r="Z65" s="7"/>
      <c r="AA65" s="7"/>
      <c r="AB65" s="7"/>
      <c r="AC65" s="7"/>
      <c r="AD65" s="7"/>
      <c r="AE65" s="7"/>
      <c r="AF65" s="7"/>
      <c r="AG65" s="7"/>
      <c r="AH65" s="7"/>
      <c r="AI65" s="40"/>
      <c r="AJ65" s="40"/>
      <c r="AK65" s="40"/>
      <c r="AL65" s="40"/>
      <c r="AM65" s="40"/>
      <c r="AN65" s="40"/>
      <c r="AO65" s="7"/>
      <c r="AP65" s="7"/>
    </row>
    <row r="66" spans="2:42" ht="16.5" customHeight="1">
      <c r="B66" s="7"/>
      <c r="C66" s="11" t="s">
        <v>94</v>
      </c>
      <c r="D66" s="7"/>
      <c r="E66" s="7"/>
      <c r="F66" s="7"/>
      <c r="G66" s="7"/>
      <c r="H66" s="330"/>
      <c r="I66" s="330"/>
      <c r="J66" s="40"/>
      <c r="K66" s="40"/>
      <c r="L66" s="40"/>
      <c r="M66" s="40"/>
      <c r="N66" s="40"/>
      <c r="O66" s="40"/>
      <c r="P66" s="40"/>
      <c r="Q66" s="40"/>
      <c r="R66" s="7"/>
      <c r="S66" s="7"/>
      <c r="T66" s="7"/>
      <c r="U66" s="7"/>
      <c r="V66" s="8"/>
      <c r="W66" s="40"/>
      <c r="X66" s="40"/>
      <c r="Y66" s="40"/>
      <c r="Z66" s="7"/>
      <c r="AA66" s="7"/>
      <c r="AB66" s="7"/>
      <c r="AC66" s="7"/>
      <c r="AD66" s="7"/>
      <c r="AE66" s="7"/>
      <c r="AF66" s="7"/>
      <c r="AG66" s="7"/>
      <c r="AH66" s="7"/>
      <c r="AI66" s="40"/>
      <c r="AJ66" s="40"/>
      <c r="AK66" s="40"/>
      <c r="AL66" s="40"/>
      <c r="AM66" s="40"/>
      <c r="AN66" s="40"/>
      <c r="AO66" s="7"/>
      <c r="AP66" s="7"/>
    </row>
    <row r="67" spans="2:42" ht="16.5" customHeight="1">
      <c r="B67" s="7"/>
      <c r="C67" s="7"/>
      <c r="D67" s="7"/>
      <c r="E67" s="7"/>
      <c r="F67" s="7"/>
      <c r="G67" s="7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7"/>
      <c r="S67" s="7"/>
      <c r="T67" s="7"/>
      <c r="U67" s="7"/>
      <c r="V67" s="8"/>
      <c r="W67" s="40"/>
      <c r="X67" s="40"/>
      <c r="Y67" s="40"/>
      <c r="Z67" s="7"/>
      <c r="AA67" s="7"/>
      <c r="AB67" s="7"/>
      <c r="AC67" s="7"/>
      <c r="AD67" s="7"/>
      <c r="AE67" s="7"/>
      <c r="AF67" s="7"/>
      <c r="AG67" s="7"/>
      <c r="AH67" s="7"/>
      <c r="AI67" s="40"/>
      <c r="AJ67" s="40"/>
      <c r="AK67" s="40"/>
      <c r="AL67" s="40"/>
      <c r="AM67" s="40"/>
      <c r="AN67" s="40"/>
      <c r="AO67" s="7"/>
      <c r="AP67" s="7"/>
    </row>
    <row r="68" spans="2:42" ht="16.5" customHeight="1">
      <c r="B68" s="7"/>
      <c r="C68" s="313" t="s">
        <v>623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8"/>
      <c r="W68" s="40"/>
      <c r="X68" s="40"/>
      <c r="Y68" s="40"/>
      <c r="Z68" s="7"/>
      <c r="AA68" s="7"/>
      <c r="AB68" s="7"/>
      <c r="AC68" s="7"/>
      <c r="AD68" s="7"/>
      <c r="AE68" s="7"/>
      <c r="AF68" s="7"/>
      <c r="AG68" s="7"/>
      <c r="AH68" s="7"/>
      <c r="AI68" s="40"/>
      <c r="AJ68" s="40"/>
      <c r="AK68" s="40"/>
      <c r="AL68" s="40"/>
      <c r="AM68" s="40"/>
      <c r="AN68" s="40"/>
      <c r="AO68" s="7"/>
      <c r="AP68" s="7"/>
    </row>
    <row r="69" spans="2:42" ht="16.5" customHeight="1">
      <c r="B69" s="7" t="s">
        <v>621</v>
      </c>
      <c r="C69" s="7"/>
      <c r="D69" s="7"/>
      <c r="E69" s="7"/>
      <c r="F69" s="7"/>
      <c r="G69" s="7"/>
      <c r="H69" s="7"/>
      <c r="I69" s="7"/>
      <c r="J69" s="7"/>
      <c r="K69" s="7"/>
      <c r="L69" s="274" t="str">
        <f>INDEX(Zwischenwerte!$A$328:$B$356,Zwischenwerte!$C327,2)</f>
        <v>Keine</v>
      </c>
      <c r="M69" s="275"/>
      <c r="N69" s="275"/>
      <c r="O69" s="275"/>
      <c r="P69" s="275"/>
      <c r="Q69" s="275"/>
      <c r="R69" s="275"/>
      <c r="S69" s="275"/>
      <c r="T69" s="275"/>
      <c r="U69" s="275"/>
      <c r="V69" s="276"/>
      <c r="W69" s="40"/>
      <c r="X69" s="40"/>
      <c r="Y69" s="40"/>
      <c r="Z69" s="7"/>
      <c r="AA69" s="7"/>
      <c r="AB69" s="7"/>
      <c r="AC69" s="7"/>
      <c r="AD69" s="7"/>
      <c r="AE69" s="7"/>
      <c r="AF69" s="7"/>
      <c r="AG69" s="7"/>
      <c r="AH69" s="7"/>
      <c r="AI69" s="40"/>
      <c r="AJ69" s="40"/>
      <c r="AK69" s="40"/>
      <c r="AL69" s="40"/>
      <c r="AM69" s="40"/>
      <c r="AN69" s="40"/>
      <c r="AO69" s="7"/>
      <c r="AP69" s="7"/>
    </row>
    <row r="70" spans="2:42" ht="16.5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281" t="str">
        <f>INDEX(Zwischenwerte!$A$328:$B$356,Zwischenwerte!$C328,2)</f>
        <v>Keine</v>
      </c>
      <c r="M70" s="8"/>
      <c r="N70" s="8"/>
      <c r="O70" s="8"/>
      <c r="P70" s="8"/>
      <c r="Q70" s="8"/>
      <c r="R70" s="8"/>
      <c r="S70" s="8"/>
      <c r="T70" s="8"/>
      <c r="U70" s="8"/>
      <c r="V70" s="282"/>
      <c r="W70" s="40"/>
      <c r="X70" s="40"/>
      <c r="Y70" s="40"/>
      <c r="Z70" s="7"/>
      <c r="AA70" s="7"/>
      <c r="AB70" s="7"/>
      <c r="AC70" s="7"/>
      <c r="AD70" s="7"/>
      <c r="AE70" s="7"/>
      <c r="AF70" s="7"/>
      <c r="AG70" s="7"/>
      <c r="AH70" s="7"/>
      <c r="AI70" s="40"/>
      <c r="AJ70" s="40"/>
      <c r="AK70" s="40"/>
      <c r="AL70" s="40"/>
      <c r="AM70" s="40"/>
      <c r="AN70" s="40"/>
      <c r="AO70" s="7"/>
      <c r="AP70" s="7"/>
    </row>
    <row r="71" spans="2:42" ht="16.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281" t="str">
        <f>INDEX(Zwischenwerte!$A$328:$B$356,Zwischenwerte!$C329,2)</f>
        <v>Keine</v>
      </c>
      <c r="M71" s="8"/>
      <c r="N71" s="8"/>
      <c r="O71" s="8"/>
      <c r="P71" s="8"/>
      <c r="Q71" s="8"/>
      <c r="R71" s="8"/>
      <c r="S71" s="8"/>
      <c r="T71" s="8"/>
      <c r="U71" s="8"/>
      <c r="V71" s="282"/>
      <c r="W71" s="40"/>
      <c r="X71" s="40"/>
      <c r="Y71" s="40"/>
      <c r="Z71" s="7"/>
      <c r="AA71" s="7"/>
      <c r="AB71" s="7"/>
      <c r="AC71" s="7"/>
      <c r="AD71" s="7"/>
      <c r="AE71" s="7"/>
      <c r="AF71" s="7"/>
      <c r="AG71" s="7"/>
      <c r="AH71" s="7"/>
      <c r="AI71" s="40"/>
      <c r="AJ71" s="40"/>
      <c r="AK71" s="40"/>
      <c r="AL71" s="40"/>
      <c r="AM71" s="40"/>
      <c r="AN71" s="40"/>
      <c r="AO71" s="7"/>
      <c r="AP71" s="7"/>
    </row>
    <row r="72" spans="2:42" ht="16.5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281" t="str">
        <f>INDEX(Zwischenwerte!$A$328:$B$356,Zwischenwerte!$C330,2)</f>
        <v>Keine</v>
      </c>
      <c r="M72" s="8"/>
      <c r="N72" s="8"/>
      <c r="O72" s="8"/>
      <c r="P72" s="8"/>
      <c r="Q72" s="8"/>
      <c r="R72" s="8"/>
      <c r="S72" s="8"/>
      <c r="T72" s="8"/>
      <c r="U72" s="8"/>
      <c r="V72" s="282"/>
      <c r="W72" s="40"/>
      <c r="X72" s="40"/>
      <c r="Y72" s="40"/>
      <c r="Z72" s="7"/>
      <c r="AA72" s="7"/>
      <c r="AB72" s="7"/>
      <c r="AC72" s="7"/>
      <c r="AD72" s="7"/>
      <c r="AE72" s="7"/>
      <c r="AF72" s="7"/>
      <c r="AG72" s="7"/>
      <c r="AH72" s="7"/>
      <c r="AI72" s="40"/>
      <c r="AJ72" s="40"/>
      <c r="AK72" s="40"/>
      <c r="AL72" s="40"/>
      <c r="AM72" s="40"/>
      <c r="AN72" s="40"/>
      <c r="AO72" s="7"/>
      <c r="AP72" s="7"/>
    </row>
    <row r="73" spans="2:42" ht="16.5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283" t="str">
        <f>INDEX(Zwischenwerte!$A$328:$B$356,Zwischenwerte!$C331,2)</f>
        <v>Keine</v>
      </c>
      <c r="M73" s="284"/>
      <c r="N73" s="284"/>
      <c r="O73" s="284"/>
      <c r="P73" s="284"/>
      <c r="Q73" s="284"/>
      <c r="R73" s="284"/>
      <c r="S73" s="284"/>
      <c r="T73" s="284"/>
      <c r="U73" s="284"/>
      <c r="V73" s="285"/>
      <c r="W73" s="40"/>
      <c r="X73" s="40"/>
      <c r="Y73" s="40"/>
      <c r="Z73" s="7"/>
      <c r="AA73" s="7"/>
      <c r="AB73" s="7"/>
      <c r="AC73" s="7"/>
      <c r="AD73" s="7"/>
      <c r="AE73" s="7"/>
      <c r="AF73" s="7"/>
      <c r="AG73" s="7"/>
      <c r="AH73" s="7"/>
      <c r="AI73" s="40"/>
      <c r="AJ73" s="40"/>
      <c r="AK73" s="40"/>
      <c r="AL73" s="40"/>
      <c r="AM73" s="40"/>
      <c r="AN73" s="40"/>
      <c r="AO73" s="7"/>
      <c r="AP73" s="7"/>
    </row>
    <row r="74" spans="2:42" ht="16.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40"/>
      <c r="M74" s="40"/>
      <c r="N74" s="40"/>
      <c r="O74" s="40"/>
      <c r="P74" s="40"/>
      <c r="Q74" s="40"/>
      <c r="R74" s="40"/>
      <c r="S74" s="40"/>
      <c r="T74" s="40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40"/>
      <c r="AO74" s="7"/>
      <c r="AP74" s="7"/>
    </row>
    <row r="75" spans="2:42" ht="16.5" customHeight="1">
      <c r="B75" s="7"/>
      <c r="C75" s="7"/>
      <c r="D75" s="313" t="s">
        <v>31</v>
      </c>
      <c r="E75" s="7"/>
      <c r="F75" s="7"/>
      <c r="G75" s="7"/>
      <c r="H75" s="7"/>
      <c r="I75" s="7"/>
      <c r="J75" s="7"/>
      <c r="K75" s="7"/>
      <c r="L75" s="7"/>
      <c r="M75" s="40"/>
      <c r="N75" s="40"/>
      <c r="O75" s="51"/>
      <c r="P75" s="52"/>
      <c r="Q75" s="52"/>
      <c r="R75" s="52"/>
      <c r="S75" s="52"/>
      <c r="T75" s="52"/>
      <c r="U75" s="53"/>
      <c r="V75" s="369" t="s">
        <v>137</v>
      </c>
      <c r="W75" s="362"/>
      <c r="X75" s="362"/>
      <c r="Y75" s="362"/>
      <c r="Z75" s="362"/>
      <c r="AA75" s="362"/>
      <c r="AB75" s="362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</row>
    <row r="76" spans="2:42" ht="16.5" customHeight="1">
      <c r="B76" s="7"/>
      <c r="C76" s="335"/>
      <c r="D76" s="336"/>
      <c r="E76" s="336"/>
      <c r="F76" s="336"/>
      <c r="G76" s="336"/>
      <c r="H76" s="336"/>
      <c r="I76" s="336"/>
      <c r="J76" s="336"/>
      <c r="K76" s="336"/>
      <c r="L76" s="336"/>
      <c r="M76" s="40"/>
      <c r="N76" s="40"/>
      <c r="O76" s="54"/>
      <c r="P76" s="55"/>
      <c r="Q76" s="55"/>
      <c r="R76" s="55"/>
      <c r="S76" s="55"/>
      <c r="T76" s="55"/>
      <c r="U76" s="56"/>
      <c r="V76" s="344" t="s">
        <v>138</v>
      </c>
      <c r="W76" s="361"/>
      <c r="X76" s="361"/>
      <c r="Y76" s="361"/>
      <c r="Z76" s="361"/>
      <c r="AA76" s="361"/>
      <c r="AB76" s="361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</row>
    <row r="77" spans="2:42" ht="16.5" customHeight="1">
      <c r="B77" s="7"/>
      <c r="C77" s="335"/>
      <c r="D77" s="336"/>
      <c r="E77" s="336"/>
      <c r="F77" s="336"/>
      <c r="G77" s="336"/>
      <c r="H77" s="336"/>
      <c r="I77" s="336"/>
      <c r="J77" s="336"/>
      <c r="K77" s="336"/>
      <c r="L77" s="336"/>
      <c r="M77" s="40"/>
      <c r="N77" s="40"/>
      <c r="O77" s="54"/>
      <c r="P77" s="55"/>
      <c r="Q77" s="55"/>
      <c r="R77" s="55"/>
      <c r="S77" s="55"/>
      <c r="T77" s="55"/>
      <c r="U77" s="56"/>
      <c r="V77" s="344" t="s">
        <v>139</v>
      </c>
      <c r="W77" s="361"/>
      <c r="X77" s="361"/>
      <c r="Y77" s="361"/>
      <c r="Z77" s="361"/>
      <c r="AA77" s="361"/>
      <c r="AB77" s="361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</row>
    <row r="78" spans="2:42" ht="16.5" customHeight="1">
      <c r="B78" s="7"/>
      <c r="C78" s="335"/>
      <c r="D78" s="336"/>
      <c r="E78" s="336"/>
      <c r="F78" s="336"/>
      <c r="G78" s="336"/>
      <c r="H78" s="336"/>
      <c r="I78" s="336"/>
      <c r="J78" s="336"/>
      <c r="K78" s="336"/>
      <c r="L78" s="336"/>
      <c r="M78" s="40"/>
      <c r="N78" s="40"/>
      <c r="O78" s="54"/>
      <c r="P78" s="55"/>
      <c r="Q78" s="55"/>
      <c r="R78" s="55"/>
      <c r="S78" s="55"/>
      <c r="T78" s="55"/>
      <c r="U78" s="56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</row>
    <row r="79" spans="2:42" ht="16.5" customHeight="1">
      <c r="B79" s="7"/>
      <c r="C79" s="335"/>
      <c r="D79" s="336"/>
      <c r="E79" s="336"/>
      <c r="F79" s="336"/>
      <c r="G79" s="336"/>
      <c r="H79" s="336"/>
      <c r="I79" s="336"/>
      <c r="J79" s="336"/>
      <c r="K79" s="336"/>
      <c r="L79" s="336"/>
      <c r="M79" s="40"/>
      <c r="N79" s="40"/>
      <c r="O79" s="54"/>
      <c r="P79" s="55"/>
      <c r="Q79" s="55"/>
      <c r="R79" s="55"/>
      <c r="S79" s="55"/>
      <c r="T79" s="55"/>
      <c r="U79" s="56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</row>
    <row r="80" spans="2:42" ht="16.5" customHeight="1">
      <c r="B80" s="7"/>
      <c r="C80" s="335"/>
      <c r="D80" s="336"/>
      <c r="E80" s="336"/>
      <c r="F80" s="336"/>
      <c r="G80" s="336"/>
      <c r="H80" s="336"/>
      <c r="I80" s="336"/>
      <c r="J80" s="336"/>
      <c r="K80" s="336"/>
      <c r="L80" s="336"/>
      <c r="M80" s="40"/>
      <c r="N80" s="40"/>
      <c r="O80" s="54"/>
      <c r="P80" s="55"/>
      <c r="Q80" s="55"/>
      <c r="R80" s="55"/>
      <c r="S80" s="55"/>
      <c r="T80" s="55"/>
      <c r="U80" s="56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</row>
    <row r="81" spans="2:42" ht="16.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40"/>
      <c r="N81" s="40"/>
      <c r="O81" s="54"/>
      <c r="P81" s="55"/>
      <c r="Q81" s="55"/>
      <c r="R81" s="55"/>
      <c r="S81" s="55"/>
      <c r="T81" s="55"/>
      <c r="U81" s="56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</row>
    <row r="82" spans="2:42" ht="16.5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57"/>
      <c r="P82" s="58"/>
      <c r="Q82" s="58"/>
      <c r="R82" s="58"/>
      <c r="S82" s="58"/>
      <c r="T82" s="58"/>
      <c r="U82" s="59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</row>
    <row r="83" spans="2:42" ht="16.5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8"/>
      <c r="AH83" s="8"/>
      <c r="AI83" s="8"/>
      <c r="AJ83" s="8"/>
      <c r="AK83" s="8"/>
      <c r="AL83" s="8"/>
      <c r="AM83" s="8"/>
      <c r="AN83" s="8"/>
      <c r="AO83" s="8"/>
      <c r="AP83" s="8"/>
    </row>
    <row r="84" spans="2:42" ht="16.5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365" t="s">
        <v>142</v>
      </c>
      <c r="X84" s="365"/>
      <c r="Y84" s="365"/>
      <c r="Z84" s="365"/>
      <c r="AA84" s="365"/>
      <c r="AB84" s="365"/>
      <c r="AC84" s="365"/>
      <c r="AD84" s="365"/>
      <c r="AE84" s="365"/>
      <c r="AF84" s="7"/>
      <c r="AG84" s="8"/>
      <c r="AH84" s="8"/>
      <c r="AI84" s="8"/>
      <c r="AJ84" s="8"/>
      <c r="AK84" s="8"/>
      <c r="AL84" s="8"/>
      <c r="AM84" s="8"/>
      <c r="AN84" s="8"/>
      <c r="AO84" s="8"/>
      <c r="AP84" s="8"/>
    </row>
    <row r="85" spans="2:42" ht="16.5" customHeight="1">
      <c r="B85" s="7"/>
      <c r="C85" s="7"/>
      <c r="D85" s="313" t="s">
        <v>484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361" t="s">
        <v>143</v>
      </c>
      <c r="X85" s="361"/>
      <c r="Y85" s="361"/>
      <c r="Z85" s="361"/>
      <c r="AA85" s="361"/>
      <c r="AB85" s="361"/>
      <c r="AC85" s="361"/>
      <c r="AD85" s="361"/>
      <c r="AE85" s="361"/>
      <c r="AF85" s="7"/>
      <c r="AG85" s="8"/>
      <c r="AH85" s="8"/>
      <c r="AI85" s="8"/>
      <c r="AJ85" s="8"/>
      <c r="AK85" s="8"/>
      <c r="AL85" s="8"/>
      <c r="AM85" s="8"/>
      <c r="AN85" s="8"/>
      <c r="AO85" s="8"/>
      <c r="AP85" s="8"/>
    </row>
    <row r="86" spans="2:42" ht="16.5" customHeight="1">
      <c r="B86" s="7"/>
      <c r="C86" s="11" t="s">
        <v>95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11" t="s">
        <v>485</v>
      </c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8"/>
      <c r="AH86" s="8"/>
      <c r="AI86" s="8"/>
      <c r="AJ86" s="8"/>
      <c r="AK86" s="8"/>
      <c r="AL86" s="8"/>
      <c r="AM86" s="8"/>
      <c r="AN86" s="8"/>
      <c r="AO86" s="8"/>
      <c r="AP86" s="8"/>
    </row>
    <row r="87" spans="2:42" ht="16.5" customHeight="1">
      <c r="B87" s="7"/>
      <c r="C87" s="352"/>
      <c r="D87" s="353"/>
      <c r="E87" s="353"/>
      <c r="F87" s="353"/>
      <c r="G87" s="353"/>
      <c r="H87" s="353"/>
      <c r="I87" s="353"/>
      <c r="J87" s="353"/>
      <c r="K87" s="353"/>
      <c r="L87" s="353"/>
      <c r="M87" s="353"/>
      <c r="N87" s="354"/>
      <c r="O87" s="7"/>
      <c r="P87" s="366"/>
      <c r="Q87" s="367"/>
      <c r="R87" s="367"/>
      <c r="S87" s="367"/>
      <c r="T87" s="367"/>
      <c r="U87" s="367"/>
      <c r="V87" s="367"/>
      <c r="W87" s="367"/>
      <c r="X87" s="367"/>
      <c r="Y87" s="367"/>
      <c r="Z87" s="367"/>
      <c r="AA87" s="367"/>
      <c r="AB87" s="367"/>
      <c r="AC87" s="367"/>
      <c r="AD87" s="367"/>
      <c r="AE87" s="367"/>
      <c r="AF87" s="368"/>
      <c r="AG87" s="8"/>
      <c r="AH87" s="8"/>
      <c r="AI87" s="8"/>
      <c r="AJ87" s="8"/>
      <c r="AK87" s="8"/>
      <c r="AL87" s="8"/>
      <c r="AM87" s="8"/>
      <c r="AN87" s="8"/>
      <c r="AO87" s="8"/>
      <c r="AP87" s="8"/>
    </row>
    <row r="88" spans="2:42" ht="16.5" customHeight="1">
      <c r="B88" s="7"/>
      <c r="C88" s="352"/>
      <c r="D88" s="353"/>
      <c r="E88" s="353"/>
      <c r="F88" s="353"/>
      <c r="G88" s="353"/>
      <c r="H88" s="353"/>
      <c r="I88" s="353"/>
      <c r="J88" s="353"/>
      <c r="K88" s="353"/>
      <c r="L88" s="353"/>
      <c r="M88" s="353"/>
      <c r="N88" s="354"/>
      <c r="O88" s="7"/>
      <c r="P88" s="366"/>
      <c r="Q88" s="367"/>
      <c r="R88" s="367"/>
      <c r="S88" s="367"/>
      <c r="T88" s="367"/>
      <c r="U88" s="367"/>
      <c r="V88" s="367"/>
      <c r="W88" s="367"/>
      <c r="X88" s="367"/>
      <c r="Y88" s="367"/>
      <c r="Z88" s="367"/>
      <c r="AA88" s="367"/>
      <c r="AB88" s="367"/>
      <c r="AC88" s="367"/>
      <c r="AD88" s="367"/>
      <c r="AE88" s="367"/>
      <c r="AF88" s="368"/>
      <c r="AG88" s="8"/>
      <c r="AH88" s="8"/>
      <c r="AI88" s="8"/>
      <c r="AJ88" s="8"/>
      <c r="AK88" s="8"/>
      <c r="AL88" s="8"/>
      <c r="AM88" s="8"/>
      <c r="AN88" s="8"/>
      <c r="AO88" s="8"/>
      <c r="AP88" s="8"/>
    </row>
    <row r="89" spans="2:42" ht="16.5" customHeight="1">
      <c r="B89" s="7"/>
      <c r="C89" s="352"/>
      <c r="D89" s="353"/>
      <c r="E89" s="353"/>
      <c r="F89" s="353"/>
      <c r="G89" s="353"/>
      <c r="H89" s="353"/>
      <c r="I89" s="353"/>
      <c r="J89" s="353"/>
      <c r="K89" s="353"/>
      <c r="L89" s="353"/>
      <c r="M89" s="353"/>
      <c r="N89" s="354"/>
      <c r="O89" s="7"/>
      <c r="P89" s="366"/>
      <c r="Q89" s="367"/>
      <c r="R89" s="367"/>
      <c r="S89" s="367"/>
      <c r="T89" s="367"/>
      <c r="U89" s="367"/>
      <c r="V89" s="367"/>
      <c r="W89" s="367"/>
      <c r="X89" s="367"/>
      <c r="Y89" s="367"/>
      <c r="Z89" s="367"/>
      <c r="AA89" s="367"/>
      <c r="AB89" s="367"/>
      <c r="AC89" s="367"/>
      <c r="AD89" s="367"/>
      <c r="AE89" s="367"/>
      <c r="AF89" s="368"/>
      <c r="AG89" s="8"/>
      <c r="AH89" s="8"/>
      <c r="AI89" s="8"/>
      <c r="AJ89" s="8"/>
      <c r="AK89" s="8"/>
      <c r="AL89" s="8"/>
      <c r="AM89" s="8"/>
      <c r="AN89" s="8"/>
      <c r="AO89" s="8"/>
      <c r="AP89" s="8"/>
    </row>
    <row r="90" spans="2:42" ht="16.5" customHeight="1">
      <c r="B90" s="7"/>
      <c r="C90" s="352"/>
      <c r="D90" s="353"/>
      <c r="E90" s="353"/>
      <c r="F90" s="353"/>
      <c r="G90" s="353"/>
      <c r="H90" s="353"/>
      <c r="I90" s="353"/>
      <c r="J90" s="353"/>
      <c r="K90" s="353"/>
      <c r="L90" s="353"/>
      <c r="M90" s="353"/>
      <c r="N90" s="354"/>
      <c r="O90" s="7"/>
      <c r="P90" s="366"/>
      <c r="Q90" s="367"/>
      <c r="R90" s="367"/>
      <c r="S90" s="367"/>
      <c r="T90" s="367"/>
      <c r="U90" s="367"/>
      <c r="V90" s="367"/>
      <c r="W90" s="367"/>
      <c r="X90" s="367"/>
      <c r="Y90" s="367"/>
      <c r="Z90" s="367"/>
      <c r="AA90" s="367"/>
      <c r="AB90" s="367"/>
      <c r="AC90" s="367"/>
      <c r="AD90" s="367"/>
      <c r="AE90" s="367"/>
      <c r="AF90" s="368"/>
      <c r="AG90" s="7"/>
      <c r="AH90" s="7"/>
      <c r="AI90" s="7"/>
      <c r="AJ90" s="7"/>
      <c r="AK90" s="7"/>
      <c r="AL90" s="7"/>
      <c r="AM90" s="7"/>
      <c r="AN90" s="7"/>
      <c r="AO90" s="7"/>
      <c r="AP90" s="7"/>
    </row>
    <row r="91" spans="2:42" ht="16.5" customHeight="1">
      <c r="B91" s="7"/>
      <c r="C91" s="352"/>
      <c r="D91" s="353"/>
      <c r="E91" s="353"/>
      <c r="F91" s="353"/>
      <c r="G91" s="353"/>
      <c r="H91" s="353"/>
      <c r="I91" s="353"/>
      <c r="J91" s="353"/>
      <c r="K91" s="353"/>
      <c r="L91" s="353"/>
      <c r="M91" s="353"/>
      <c r="N91" s="354"/>
      <c r="O91" s="7"/>
      <c r="P91" s="366"/>
      <c r="Q91" s="367"/>
      <c r="R91" s="367"/>
      <c r="S91" s="367"/>
      <c r="T91" s="367"/>
      <c r="U91" s="367"/>
      <c r="V91" s="367"/>
      <c r="W91" s="367"/>
      <c r="X91" s="367"/>
      <c r="Y91" s="367"/>
      <c r="Z91" s="367"/>
      <c r="AA91" s="367"/>
      <c r="AB91" s="367"/>
      <c r="AC91" s="367"/>
      <c r="AD91" s="367"/>
      <c r="AE91" s="367"/>
      <c r="AF91" s="368"/>
      <c r="AG91" s="7"/>
      <c r="AH91" s="7"/>
      <c r="AI91" s="7"/>
      <c r="AJ91" s="7"/>
      <c r="AK91" s="7"/>
      <c r="AL91" s="7"/>
      <c r="AM91" s="7"/>
      <c r="AN91" s="7"/>
      <c r="AO91" s="7"/>
      <c r="AP91" s="7"/>
    </row>
    <row r="92" spans="2:42" ht="16.5" customHeight="1">
      <c r="B92" s="7"/>
      <c r="C92" s="352"/>
      <c r="D92" s="353"/>
      <c r="E92" s="353"/>
      <c r="F92" s="353"/>
      <c r="G92" s="353"/>
      <c r="H92" s="353"/>
      <c r="I92" s="353"/>
      <c r="J92" s="353"/>
      <c r="K92" s="353"/>
      <c r="L92" s="353"/>
      <c r="M92" s="353"/>
      <c r="N92" s="354"/>
      <c r="O92" s="7"/>
      <c r="P92" s="366"/>
      <c r="Q92" s="367"/>
      <c r="R92" s="367"/>
      <c r="S92" s="367"/>
      <c r="T92" s="367"/>
      <c r="U92" s="367"/>
      <c r="V92" s="367"/>
      <c r="W92" s="367"/>
      <c r="X92" s="367"/>
      <c r="Y92" s="367"/>
      <c r="Z92" s="367"/>
      <c r="AA92" s="367"/>
      <c r="AB92" s="367"/>
      <c r="AC92" s="367"/>
      <c r="AD92" s="367"/>
      <c r="AE92" s="367"/>
      <c r="AF92" s="368"/>
      <c r="AG92" s="7"/>
      <c r="AH92" s="7"/>
      <c r="AI92" s="7"/>
      <c r="AJ92" s="7"/>
      <c r="AK92" s="7"/>
      <c r="AL92" s="7"/>
      <c r="AM92" s="7"/>
      <c r="AN92" s="7"/>
      <c r="AO92" s="7"/>
      <c r="AP92" s="7"/>
    </row>
    <row r="93" spans="2:42" ht="16.5" customHeight="1">
      <c r="B93" s="7"/>
      <c r="C93" s="352"/>
      <c r="D93" s="353"/>
      <c r="E93" s="353"/>
      <c r="F93" s="353"/>
      <c r="G93" s="353"/>
      <c r="H93" s="353"/>
      <c r="I93" s="353"/>
      <c r="J93" s="353"/>
      <c r="K93" s="353"/>
      <c r="L93" s="353"/>
      <c r="M93" s="353"/>
      <c r="N93" s="354"/>
      <c r="O93" s="7"/>
      <c r="P93" s="366"/>
      <c r="Q93" s="367"/>
      <c r="R93" s="367"/>
      <c r="S93" s="367"/>
      <c r="T93" s="367"/>
      <c r="U93" s="367"/>
      <c r="V93" s="367"/>
      <c r="W93" s="367"/>
      <c r="X93" s="367"/>
      <c r="Y93" s="367"/>
      <c r="Z93" s="367"/>
      <c r="AA93" s="367"/>
      <c r="AB93" s="367"/>
      <c r="AC93" s="367"/>
      <c r="AD93" s="367"/>
      <c r="AE93" s="367"/>
      <c r="AF93" s="368"/>
      <c r="AG93" s="7"/>
      <c r="AH93" s="7"/>
      <c r="AI93" s="7"/>
      <c r="AJ93" s="7"/>
      <c r="AK93" s="7"/>
      <c r="AL93" s="7"/>
      <c r="AM93" s="7"/>
      <c r="AN93" s="7"/>
      <c r="AO93" s="7"/>
      <c r="AP93" s="7"/>
    </row>
    <row r="94" spans="2:42" ht="16.5" customHeight="1">
      <c r="B94" s="7"/>
      <c r="C94" s="352"/>
      <c r="D94" s="353"/>
      <c r="E94" s="353"/>
      <c r="F94" s="353"/>
      <c r="G94" s="353"/>
      <c r="H94" s="353"/>
      <c r="I94" s="353"/>
      <c r="J94" s="353"/>
      <c r="K94" s="353"/>
      <c r="L94" s="353"/>
      <c r="M94" s="353"/>
      <c r="N94" s="354"/>
      <c r="O94" s="7"/>
      <c r="P94" s="366"/>
      <c r="Q94" s="367"/>
      <c r="R94" s="367"/>
      <c r="S94" s="367"/>
      <c r="T94" s="367"/>
      <c r="U94" s="367"/>
      <c r="V94" s="367"/>
      <c r="W94" s="367"/>
      <c r="X94" s="367"/>
      <c r="Y94" s="367"/>
      <c r="Z94" s="367"/>
      <c r="AA94" s="367"/>
      <c r="AB94" s="367"/>
      <c r="AC94" s="367"/>
      <c r="AD94" s="367"/>
      <c r="AE94" s="367"/>
      <c r="AF94" s="368"/>
      <c r="AG94" s="7"/>
      <c r="AH94" s="7"/>
      <c r="AI94" s="7"/>
      <c r="AJ94" s="7"/>
      <c r="AK94" s="7"/>
      <c r="AL94" s="7"/>
      <c r="AM94" s="7"/>
      <c r="AN94" s="7"/>
      <c r="AO94" s="7"/>
      <c r="AP94" s="7"/>
    </row>
    <row r="95" spans="2:42" ht="16.5" customHeight="1">
      <c r="B95" s="7"/>
      <c r="C95" s="352"/>
      <c r="D95" s="353"/>
      <c r="E95" s="353"/>
      <c r="F95" s="353"/>
      <c r="G95" s="353"/>
      <c r="H95" s="353"/>
      <c r="I95" s="353"/>
      <c r="J95" s="353"/>
      <c r="K95" s="353"/>
      <c r="L95" s="353"/>
      <c r="M95" s="353"/>
      <c r="N95" s="354"/>
      <c r="O95" s="7"/>
      <c r="P95" s="366"/>
      <c r="Q95" s="367"/>
      <c r="R95" s="367"/>
      <c r="S95" s="367"/>
      <c r="T95" s="367"/>
      <c r="U95" s="367"/>
      <c r="V95" s="367"/>
      <c r="W95" s="367"/>
      <c r="X95" s="367"/>
      <c r="Y95" s="367"/>
      <c r="Z95" s="367"/>
      <c r="AA95" s="367"/>
      <c r="AB95" s="367"/>
      <c r="AC95" s="367"/>
      <c r="AD95" s="367"/>
      <c r="AE95" s="367"/>
      <c r="AF95" s="368"/>
      <c r="AG95" s="7"/>
      <c r="AH95" s="7"/>
      <c r="AI95" s="7"/>
      <c r="AJ95" s="7"/>
      <c r="AK95" s="7"/>
      <c r="AL95" s="7"/>
      <c r="AM95" s="7"/>
      <c r="AN95" s="7"/>
      <c r="AO95" s="7"/>
      <c r="AP95" s="7"/>
    </row>
    <row r="96" spans="2:42" ht="16.5" customHeight="1">
      <c r="B96" s="7"/>
      <c r="C96" s="352"/>
      <c r="D96" s="353"/>
      <c r="E96" s="353"/>
      <c r="F96" s="353"/>
      <c r="G96" s="353"/>
      <c r="H96" s="353"/>
      <c r="I96" s="353"/>
      <c r="J96" s="353"/>
      <c r="K96" s="353"/>
      <c r="L96" s="353"/>
      <c r="M96" s="353"/>
      <c r="N96" s="354"/>
      <c r="O96" s="7"/>
      <c r="P96" s="366"/>
      <c r="Q96" s="367"/>
      <c r="R96" s="367"/>
      <c r="S96" s="367"/>
      <c r="T96" s="367"/>
      <c r="U96" s="367"/>
      <c r="V96" s="367"/>
      <c r="W96" s="367"/>
      <c r="X96" s="367"/>
      <c r="Y96" s="367"/>
      <c r="Z96" s="367"/>
      <c r="AA96" s="367"/>
      <c r="AB96" s="367"/>
      <c r="AC96" s="367"/>
      <c r="AD96" s="367"/>
      <c r="AE96" s="367"/>
      <c r="AF96" s="368"/>
      <c r="AG96" s="7"/>
      <c r="AH96" s="7"/>
      <c r="AI96" s="7"/>
      <c r="AJ96" s="7"/>
      <c r="AK96" s="7"/>
      <c r="AL96" s="7"/>
      <c r="AM96" s="7"/>
      <c r="AN96" s="7"/>
      <c r="AO96" s="7"/>
      <c r="AP96" s="7"/>
    </row>
    <row r="97" spans="2:42" ht="16.5" customHeight="1">
      <c r="B97" s="7"/>
      <c r="C97" s="352"/>
      <c r="D97" s="353"/>
      <c r="E97" s="353"/>
      <c r="F97" s="353"/>
      <c r="G97" s="353"/>
      <c r="H97" s="353"/>
      <c r="I97" s="353"/>
      <c r="J97" s="353"/>
      <c r="K97" s="353"/>
      <c r="L97" s="353"/>
      <c r="M97" s="353"/>
      <c r="N97" s="354"/>
      <c r="O97" s="7"/>
      <c r="P97" s="366"/>
      <c r="Q97" s="367"/>
      <c r="R97" s="367"/>
      <c r="S97" s="367"/>
      <c r="T97" s="367"/>
      <c r="U97" s="367"/>
      <c r="V97" s="367"/>
      <c r="W97" s="367"/>
      <c r="X97" s="367"/>
      <c r="Y97" s="367"/>
      <c r="Z97" s="367"/>
      <c r="AA97" s="367"/>
      <c r="AB97" s="367"/>
      <c r="AC97" s="367"/>
      <c r="AD97" s="367"/>
      <c r="AE97" s="367"/>
      <c r="AF97" s="368"/>
      <c r="AG97" s="7"/>
      <c r="AH97" s="7"/>
      <c r="AI97" s="7"/>
      <c r="AJ97" s="7"/>
      <c r="AK97" s="7"/>
      <c r="AL97" s="7"/>
      <c r="AM97" s="7"/>
      <c r="AN97" s="7"/>
      <c r="AO97" s="7"/>
      <c r="AP97" s="7"/>
    </row>
    <row r="98" spans="2:42" ht="16.5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7"/>
    </row>
    <row r="99" spans="2:42" ht="16.5" customHeight="1">
      <c r="B99" s="7"/>
      <c r="C99" s="313" t="s">
        <v>493</v>
      </c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7"/>
    </row>
    <row r="100" spans="2:42" ht="16.5" customHeight="1">
      <c r="B100" s="269" t="s">
        <v>486</v>
      </c>
      <c r="C100" s="263"/>
      <c r="D100" s="263"/>
      <c r="E100" s="263"/>
      <c r="F100" s="324">
        <f>INDEX(Zwischenwerte!A85:A105,Charakter!G21,1)</f>
        <v>3</v>
      </c>
      <c r="G100" s="324"/>
      <c r="H100" s="269" t="s">
        <v>329</v>
      </c>
      <c r="I100" s="263"/>
      <c r="J100" s="332">
        <f>Traglast*2</f>
        <v>6</v>
      </c>
      <c r="K100" s="332"/>
      <c r="L100" s="269" t="s">
        <v>329</v>
      </c>
      <c r="M100" s="263"/>
      <c r="N100" s="332">
        <f>Traglast*3</f>
        <v>9</v>
      </c>
      <c r="O100" s="332"/>
      <c r="P100" s="269" t="s">
        <v>329</v>
      </c>
      <c r="Q100" s="7"/>
      <c r="R100" s="7"/>
      <c r="S100" s="7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7"/>
    </row>
    <row r="101" spans="2:42" ht="16.5" customHeight="1">
      <c r="B101" s="7"/>
      <c r="C101" s="423"/>
      <c r="D101" s="424"/>
      <c r="E101" s="40" t="s">
        <v>51</v>
      </c>
      <c r="F101" s="7"/>
      <c r="G101" s="40"/>
      <c r="H101" s="40"/>
      <c r="I101" s="40"/>
      <c r="J101" s="7"/>
      <c r="K101" s="7"/>
      <c r="L101" s="7"/>
      <c r="M101" s="7"/>
      <c r="N101" s="7"/>
      <c r="O101" s="7"/>
      <c r="P101" s="7"/>
      <c r="Q101" s="331"/>
      <c r="R101" s="331"/>
      <c r="S101" s="7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7"/>
    </row>
    <row r="102" spans="2:42" ht="16.5" customHeight="1">
      <c r="B102" s="263" t="s">
        <v>487</v>
      </c>
      <c r="C102" s="263"/>
      <c r="D102" s="263"/>
      <c r="E102" s="332">
        <f>N100</f>
        <v>9</v>
      </c>
      <c r="F102" s="332"/>
      <c r="G102" s="269" t="s">
        <v>329</v>
      </c>
      <c r="H102" s="263"/>
      <c r="I102" s="263" t="s">
        <v>108</v>
      </c>
      <c r="J102" s="263"/>
      <c r="K102" s="263"/>
      <c r="L102" s="263"/>
      <c r="M102" s="328">
        <f>IF(Zwischenwerte!B18=1,6,9)+C101</f>
        <v>9</v>
      </c>
      <c r="N102" s="328"/>
      <c r="O102" s="269" t="s">
        <v>494</v>
      </c>
      <c r="P102" s="332">
        <f>0.5*Laufen</f>
        <v>4.5</v>
      </c>
      <c r="Q102" s="332"/>
      <c r="R102" s="269" t="s">
        <v>109</v>
      </c>
      <c r="S102" s="263"/>
      <c r="T102" s="40"/>
      <c r="U102" s="7"/>
      <c r="V102" s="7"/>
      <c r="W102" s="7"/>
      <c r="X102" s="7"/>
      <c r="Y102" s="7"/>
      <c r="Z102" s="7"/>
      <c r="AA102" s="7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7"/>
    </row>
    <row r="103" spans="2:42" ht="16.5" customHeight="1">
      <c r="B103" s="263" t="s">
        <v>488</v>
      </c>
      <c r="C103" s="263"/>
      <c r="D103" s="263"/>
      <c r="E103" s="332">
        <f>N100*2</f>
        <v>18</v>
      </c>
      <c r="F103" s="332"/>
      <c r="G103" s="269" t="s">
        <v>329</v>
      </c>
      <c r="H103" s="263"/>
      <c r="I103" s="263" t="s">
        <v>107</v>
      </c>
      <c r="J103" s="263"/>
      <c r="K103" s="263"/>
      <c r="L103" s="263"/>
      <c r="M103" s="332">
        <f>Laufen*2</f>
        <v>18</v>
      </c>
      <c r="N103" s="332"/>
      <c r="O103" s="269" t="s">
        <v>494</v>
      </c>
      <c r="P103" s="332">
        <f>P102*2</f>
        <v>9</v>
      </c>
      <c r="Q103" s="332"/>
      <c r="R103" s="269" t="s">
        <v>109</v>
      </c>
      <c r="S103" s="263"/>
      <c r="T103" s="40"/>
      <c r="U103" s="40"/>
      <c r="V103" s="40"/>
      <c r="W103" s="7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7"/>
    </row>
    <row r="104" spans="2:42" ht="16.5" customHeight="1">
      <c r="B104" s="263" t="s">
        <v>489</v>
      </c>
      <c r="C104" s="263"/>
      <c r="D104" s="263"/>
      <c r="E104" s="332">
        <f>N100*5</f>
        <v>45</v>
      </c>
      <c r="F104" s="332"/>
      <c r="G104" s="269" t="s">
        <v>329</v>
      </c>
      <c r="H104" s="263"/>
      <c r="I104" s="263" t="s">
        <v>105</v>
      </c>
      <c r="J104" s="263"/>
      <c r="K104" s="263"/>
      <c r="L104" s="263"/>
      <c r="M104" s="332">
        <f>Laufen*3</f>
        <v>27</v>
      </c>
      <c r="N104" s="332"/>
      <c r="O104" s="269" t="s">
        <v>494</v>
      </c>
      <c r="P104" s="332"/>
      <c r="Q104" s="332"/>
      <c r="R104" s="263"/>
      <c r="S104" s="263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7"/>
    </row>
    <row r="105" spans="2:42" ht="16.5" customHeight="1">
      <c r="B105" s="263" t="s">
        <v>492</v>
      </c>
      <c r="C105" s="263"/>
      <c r="D105" s="263"/>
      <c r="E105" s="329">
        <f>AA214</f>
        <v>0</v>
      </c>
      <c r="F105" s="332"/>
      <c r="G105" s="269" t="s">
        <v>329</v>
      </c>
      <c r="H105" s="263"/>
      <c r="I105" s="263" t="s">
        <v>106</v>
      </c>
      <c r="J105" s="263"/>
      <c r="K105" s="263"/>
      <c r="L105" s="263"/>
      <c r="M105" s="332">
        <f>Laufen*4</f>
        <v>36</v>
      </c>
      <c r="N105" s="332"/>
      <c r="O105" s="269" t="s">
        <v>494</v>
      </c>
      <c r="P105" s="332"/>
      <c r="Q105" s="332"/>
      <c r="R105" s="263"/>
      <c r="S105" s="263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7"/>
    </row>
    <row r="106" spans="2:42" ht="16.5" customHeight="1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7"/>
    </row>
    <row r="107" spans="2:42" ht="20.25">
      <c r="B107" s="327" t="s">
        <v>78</v>
      </c>
      <c r="C107" s="327"/>
      <c r="D107" s="327"/>
      <c r="E107" s="327"/>
      <c r="F107" s="327"/>
      <c r="G107" s="327"/>
      <c r="H107" s="327"/>
      <c r="I107" s="327"/>
      <c r="J107" s="327"/>
      <c r="K107" s="327"/>
      <c r="L107" s="327"/>
      <c r="M107" s="327"/>
      <c r="N107" s="327"/>
      <c r="O107" s="327"/>
      <c r="P107" s="327"/>
      <c r="Q107" s="327"/>
      <c r="R107" s="327"/>
      <c r="S107" s="327"/>
      <c r="T107" s="327"/>
      <c r="U107" s="327"/>
      <c r="V107" s="327"/>
      <c r="W107" s="327"/>
      <c r="X107" s="327"/>
      <c r="Y107" s="327"/>
      <c r="Z107" s="327"/>
      <c r="AA107" s="327"/>
      <c r="AB107" s="327"/>
      <c r="AC107" s="327"/>
      <c r="AD107" s="327"/>
      <c r="AE107" s="327"/>
      <c r="AF107" s="327"/>
      <c r="AG107" s="327"/>
      <c r="AH107" s="327"/>
      <c r="AI107" s="327"/>
      <c r="AJ107" s="327"/>
      <c r="AK107" s="327"/>
      <c r="AL107" s="327"/>
      <c r="AM107" s="327"/>
      <c r="AN107" s="327"/>
      <c r="AO107" s="327"/>
      <c r="AP107" s="8"/>
    </row>
    <row r="108" spans="2:42" ht="16.5" customHeight="1">
      <c r="B108" s="7"/>
      <c r="C108" s="7"/>
      <c r="D108" s="24"/>
      <c r="E108" s="7"/>
      <c r="F108" s="7"/>
      <c r="G108" s="7"/>
      <c r="H108" s="7"/>
      <c r="I108" s="7"/>
      <c r="J108" s="7"/>
      <c r="K108" s="7"/>
      <c r="L108" s="365" t="s">
        <v>526</v>
      </c>
      <c r="M108" s="365"/>
      <c r="N108" s="7"/>
      <c r="O108" s="30" t="s">
        <v>110</v>
      </c>
      <c r="P108" s="30"/>
      <c r="Q108" s="7"/>
      <c r="R108" s="30"/>
      <c r="S108" s="7"/>
      <c r="T108" s="30"/>
      <c r="U108" s="7"/>
      <c r="V108" s="30" t="s">
        <v>114</v>
      </c>
      <c r="W108" s="7"/>
      <c r="X108" s="270"/>
      <c r="Y108" s="7"/>
      <c r="Z108" s="7"/>
      <c r="AA108" s="7"/>
      <c r="AB108" s="7"/>
      <c r="AC108" s="7"/>
      <c r="AD108" s="7"/>
      <c r="AE108" s="365" t="s">
        <v>526</v>
      </c>
      <c r="AF108" s="365"/>
      <c r="AG108" s="7"/>
      <c r="AH108" s="30" t="s">
        <v>110</v>
      </c>
      <c r="AI108" s="30"/>
      <c r="AJ108" s="7"/>
      <c r="AK108" s="30"/>
      <c r="AL108" s="7"/>
      <c r="AM108" s="30"/>
      <c r="AN108" s="7"/>
      <c r="AO108" s="30" t="s">
        <v>114</v>
      </c>
      <c r="AP108" s="8"/>
    </row>
    <row r="109" spans="2:42" ht="16.5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 t="s">
        <v>256</v>
      </c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8"/>
    </row>
    <row r="110" spans="2:42" ht="16.5" customHeight="1">
      <c r="B110" s="36"/>
      <c r="C110" s="13" t="s">
        <v>520</v>
      </c>
      <c r="D110" s="13"/>
      <c r="E110" s="13"/>
      <c r="F110" s="13"/>
      <c r="G110" s="13"/>
      <c r="H110" s="7"/>
      <c r="I110" s="19"/>
      <c r="J110" s="63" t="s">
        <v>521</v>
      </c>
      <c r="K110" s="7"/>
      <c r="L110" s="372">
        <f>SUM(O110:P110,R110,T110,V110)</f>
        <v>-4</v>
      </c>
      <c r="M110" s="373"/>
      <c r="N110" s="28" t="s">
        <v>344</v>
      </c>
      <c r="O110" s="47"/>
      <c r="P110" s="273"/>
      <c r="Q110" s="257" t="s">
        <v>345</v>
      </c>
      <c r="R110" s="257">
        <f>Intelligenz_Mod</f>
        <v>-4</v>
      </c>
      <c r="S110" s="257" t="s">
        <v>345</v>
      </c>
      <c r="T110" s="262" t="s">
        <v>246</v>
      </c>
      <c r="U110" s="257" t="s">
        <v>345</v>
      </c>
      <c r="V110" s="47"/>
      <c r="W110" s="7"/>
      <c r="X110" s="326" t="s">
        <v>511</v>
      </c>
      <c r="Y110" s="326"/>
      <c r="Z110" s="326"/>
      <c r="AA110" s="326"/>
      <c r="AB110" s="326"/>
      <c r="AC110" s="326"/>
      <c r="AD110" s="326"/>
      <c r="AE110" s="325"/>
      <c r="AF110" s="325"/>
      <c r="AG110" s="31"/>
      <c r="AH110" s="7"/>
      <c r="AI110" s="7" t="s">
        <v>256</v>
      </c>
      <c r="AJ110" s="7"/>
      <c r="AK110" s="7"/>
      <c r="AL110" s="7"/>
      <c r="AM110" s="7"/>
      <c r="AN110" s="7"/>
      <c r="AO110" s="7"/>
      <c r="AP110" s="8"/>
    </row>
    <row r="111" spans="2:42" ht="16.5" customHeight="1">
      <c r="B111" s="36" t="s">
        <v>27</v>
      </c>
      <c r="C111" s="13" t="s">
        <v>517</v>
      </c>
      <c r="D111" s="13"/>
      <c r="E111" s="13"/>
      <c r="F111" s="13"/>
      <c r="G111" s="13"/>
      <c r="H111" s="7"/>
      <c r="I111" s="19"/>
      <c r="J111" s="64"/>
      <c r="K111" s="7"/>
      <c r="L111" s="372">
        <f>SUM(O111:P111,R111,T111,V111)</f>
        <v>-4</v>
      </c>
      <c r="M111" s="373"/>
      <c r="N111" s="28" t="s">
        <v>344</v>
      </c>
      <c r="O111" s="47"/>
      <c r="P111" s="273"/>
      <c r="Q111" s="257" t="s">
        <v>345</v>
      </c>
      <c r="R111" s="257">
        <f>Geschicklichkeit_Mod</f>
        <v>-4</v>
      </c>
      <c r="S111" s="257" t="s">
        <v>345</v>
      </c>
      <c r="T111" s="262">
        <f>IF(OR(O138&gt;4,P138&gt;4),2,0)+Zwischenwerte!A488</f>
        <v>0</v>
      </c>
      <c r="U111" s="257" t="s">
        <v>345</v>
      </c>
      <c r="V111" s="47"/>
      <c r="W111" s="7"/>
      <c r="X111" s="335"/>
      <c r="Y111" s="335"/>
      <c r="Z111" s="335"/>
      <c r="AA111" s="335"/>
      <c r="AB111" s="335"/>
      <c r="AC111" s="335"/>
      <c r="AD111" s="335"/>
      <c r="AE111" s="372">
        <f>SUM(AH111:AI111,AK111,AM111,AO111)</f>
        <v>-4</v>
      </c>
      <c r="AF111" s="373"/>
      <c r="AG111" s="28" t="s">
        <v>344</v>
      </c>
      <c r="AH111" s="47"/>
      <c r="AI111" s="273"/>
      <c r="AJ111" s="268" t="s">
        <v>345</v>
      </c>
      <c r="AK111" s="257">
        <f>Intelligenz_Mod</f>
        <v>-4</v>
      </c>
      <c r="AL111" s="257"/>
      <c r="AM111" s="262"/>
      <c r="AN111" s="268" t="s">
        <v>345</v>
      </c>
      <c r="AO111" s="47"/>
      <c r="AP111" s="8"/>
    </row>
    <row r="112" spans="2:42" ht="16.5" customHeight="1">
      <c r="B112" s="36" t="s">
        <v>27</v>
      </c>
      <c r="C112" s="13" t="s">
        <v>498</v>
      </c>
      <c r="D112" s="13"/>
      <c r="E112" s="13"/>
      <c r="F112" s="13"/>
      <c r="G112" s="13"/>
      <c r="H112" s="7"/>
      <c r="I112" s="19"/>
      <c r="J112" s="63" t="s">
        <v>521</v>
      </c>
      <c r="K112" s="7"/>
      <c r="L112" s="372">
        <f>SUM(O112:P112,R112,T112,V112)</f>
        <v>-4</v>
      </c>
      <c r="M112" s="373"/>
      <c r="N112" s="28" t="s">
        <v>344</v>
      </c>
      <c r="O112" s="47"/>
      <c r="P112" s="273"/>
      <c r="Q112" s="257" t="s">
        <v>345</v>
      </c>
      <c r="R112" s="257">
        <f>Geschicklichkeit_Mod</f>
        <v>-4</v>
      </c>
      <c r="S112" s="257" t="s">
        <v>345</v>
      </c>
      <c r="T112" s="262">
        <f>IF(OR(O111&gt;4,P111&gt;4),2,0)+Zwischenwerte!A488</f>
        <v>0</v>
      </c>
      <c r="U112" s="257" t="s">
        <v>345</v>
      </c>
      <c r="V112" s="47"/>
      <c r="W112" s="7"/>
      <c r="X112" s="335"/>
      <c r="Y112" s="335"/>
      <c r="Z112" s="335"/>
      <c r="AA112" s="335"/>
      <c r="AB112" s="335"/>
      <c r="AC112" s="335"/>
      <c r="AD112" s="335"/>
      <c r="AE112" s="372">
        <f>SUM(AH112:AI112,AK112,AM112,AO112)</f>
        <v>-4</v>
      </c>
      <c r="AF112" s="373"/>
      <c r="AG112" s="28" t="s">
        <v>344</v>
      </c>
      <c r="AH112" s="47"/>
      <c r="AI112" s="273"/>
      <c r="AJ112" s="268" t="s">
        <v>345</v>
      </c>
      <c r="AK112" s="257">
        <f>Intelligenz_Mod</f>
        <v>-4</v>
      </c>
      <c r="AL112" s="257"/>
      <c r="AM112" s="262"/>
      <c r="AN112" s="268" t="s">
        <v>345</v>
      </c>
      <c r="AO112" s="47"/>
      <c r="AP112" s="8"/>
    </row>
    <row r="113" spans="2:42" ht="16.5" customHeight="1">
      <c r="B113" s="36" t="s">
        <v>27</v>
      </c>
      <c r="C113" s="13" t="s">
        <v>511</v>
      </c>
      <c r="D113" s="13"/>
      <c r="E113" s="13"/>
      <c r="F113" s="13"/>
      <c r="G113" s="13"/>
      <c r="H113" s="7"/>
      <c r="I113" s="19"/>
      <c r="J113" s="64"/>
      <c r="K113" s="7"/>
      <c r="L113" s="11" t="s">
        <v>0</v>
      </c>
      <c r="M113" s="7"/>
      <c r="N113" s="7"/>
      <c r="O113" s="7"/>
      <c r="P113" s="7"/>
      <c r="Q113" s="261"/>
      <c r="R113" s="261"/>
      <c r="S113" s="261"/>
      <c r="T113" s="261"/>
      <c r="U113" s="261"/>
      <c r="V113" s="7"/>
      <c r="W113" s="7"/>
      <c r="X113" s="335"/>
      <c r="Y113" s="335"/>
      <c r="Z113" s="335"/>
      <c r="AA113" s="335"/>
      <c r="AB113" s="335"/>
      <c r="AC113" s="335"/>
      <c r="AD113" s="335"/>
      <c r="AE113" s="372">
        <f>SUM(AH113:AI113,AK113,AM113,AO113)</f>
        <v>-4</v>
      </c>
      <c r="AF113" s="373"/>
      <c r="AG113" s="28" t="s">
        <v>344</v>
      </c>
      <c r="AH113" s="47"/>
      <c r="AI113" s="273"/>
      <c r="AJ113" s="268" t="s">
        <v>345</v>
      </c>
      <c r="AK113" s="257">
        <f>Intelligenz_Mod</f>
        <v>-4</v>
      </c>
      <c r="AL113" s="257"/>
      <c r="AM113" s="262"/>
      <c r="AN113" s="268" t="s">
        <v>345</v>
      </c>
      <c r="AO113" s="47"/>
      <c r="AP113" s="8"/>
    </row>
    <row r="114" spans="2:42" ht="16.5" customHeight="1">
      <c r="B114" s="36" t="s">
        <v>27</v>
      </c>
      <c r="C114" s="13" t="s">
        <v>499</v>
      </c>
      <c r="D114" s="13"/>
      <c r="E114" s="13"/>
      <c r="F114" s="13"/>
      <c r="G114" s="13"/>
      <c r="H114" s="7"/>
      <c r="I114" s="19"/>
      <c r="J114" s="63" t="s">
        <v>521</v>
      </c>
      <c r="K114" s="29" t="s">
        <v>522</v>
      </c>
      <c r="L114" s="372">
        <f>SUM(O114:P114,R114,T114,V114)</f>
        <v>-4</v>
      </c>
      <c r="M114" s="373"/>
      <c r="N114" s="28" t="s">
        <v>344</v>
      </c>
      <c r="O114" s="47"/>
      <c r="P114" s="273"/>
      <c r="Q114" s="257" t="s">
        <v>345</v>
      </c>
      <c r="R114" s="257">
        <f>Charisma_Mod</f>
        <v>-4</v>
      </c>
      <c r="S114" s="257" t="s">
        <v>345</v>
      </c>
      <c r="T114" s="257">
        <f>Reputation</f>
        <v>0</v>
      </c>
      <c r="U114" s="257" t="s">
        <v>345</v>
      </c>
      <c r="V114" s="47"/>
      <c r="W114" s="7"/>
      <c r="X114" s="334"/>
      <c r="Y114" s="334"/>
      <c r="Z114" s="334"/>
      <c r="AA114" s="334"/>
      <c r="AB114" s="334"/>
      <c r="AC114" s="334"/>
      <c r="AD114" s="334"/>
      <c r="AE114" s="325"/>
      <c r="AF114" s="325"/>
      <c r="AG114" s="7"/>
      <c r="AH114" s="7"/>
      <c r="AI114" s="7"/>
      <c r="AJ114" s="261"/>
      <c r="AK114" s="263"/>
      <c r="AL114" s="263"/>
      <c r="AM114" s="272"/>
      <c r="AN114" s="261"/>
      <c r="AO114" s="7"/>
      <c r="AP114" s="8"/>
    </row>
    <row r="115" spans="2:42" ht="16.5" customHeight="1">
      <c r="B115" s="36" t="s">
        <v>27</v>
      </c>
      <c r="C115" s="13" t="s">
        <v>502</v>
      </c>
      <c r="D115" s="13"/>
      <c r="E115" s="13"/>
      <c r="F115" s="13"/>
      <c r="G115" s="13"/>
      <c r="H115" s="7"/>
      <c r="I115" s="19"/>
      <c r="J115" s="63" t="s">
        <v>521</v>
      </c>
      <c r="K115" s="29" t="s">
        <v>522</v>
      </c>
      <c r="L115" s="372">
        <f aca="true" t="shared" si="0" ref="L115:L120">SUM(O115:P115,R115,T115,V115)</f>
        <v>-4</v>
      </c>
      <c r="M115" s="373"/>
      <c r="N115" s="28" t="s">
        <v>344</v>
      </c>
      <c r="O115" s="47"/>
      <c r="P115" s="273"/>
      <c r="Q115" s="257" t="s">
        <v>345</v>
      </c>
      <c r="R115" s="257">
        <f>Charisma_Mod</f>
        <v>-4</v>
      </c>
      <c r="S115" s="257" t="s">
        <v>345</v>
      </c>
      <c r="T115" s="257">
        <f>Reputation+IF(OR(O114&gt;4,P114&gt;4),2,0)+IF(OR(O127&gt;4,P127&gt;4),2,0)+IF(OR(AH132&gt;4,AI132&gt;4),2,0)</f>
        <v>0</v>
      </c>
      <c r="U115" s="257" t="s">
        <v>345</v>
      </c>
      <c r="V115" s="47"/>
      <c r="W115" s="7"/>
      <c r="X115" s="326" t="s">
        <v>501</v>
      </c>
      <c r="Y115" s="326"/>
      <c r="Z115" s="326"/>
      <c r="AA115" s="326"/>
      <c r="AB115" s="326"/>
      <c r="AC115" s="326"/>
      <c r="AD115" s="326"/>
      <c r="AE115" s="325"/>
      <c r="AF115" s="325"/>
      <c r="AG115" s="31"/>
      <c r="AH115" s="7"/>
      <c r="AI115" s="7"/>
      <c r="AJ115" s="261"/>
      <c r="AK115" s="263"/>
      <c r="AL115" s="263"/>
      <c r="AM115" s="272"/>
      <c r="AN115" s="261"/>
      <c r="AO115" s="7"/>
      <c r="AP115" s="8"/>
    </row>
    <row r="116" spans="2:42" ht="16.5" customHeight="1">
      <c r="B116" s="36" t="s">
        <v>27</v>
      </c>
      <c r="C116" s="13" t="s">
        <v>506</v>
      </c>
      <c r="D116" s="13"/>
      <c r="E116" s="13"/>
      <c r="F116" s="13"/>
      <c r="G116" s="13"/>
      <c r="H116" s="7"/>
      <c r="I116" s="19"/>
      <c r="J116" s="63" t="s">
        <v>521</v>
      </c>
      <c r="K116" s="29" t="s">
        <v>522</v>
      </c>
      <c r="L116" s="372">
        <f t="shared" si="0"/>
        <v>-4</v>
      </c>
      <c r="M116" s="373"/>
      <c r="N116" s="28" t="s">
        <v>344</v>
      </c>
      <c r="O116" s="47"/>
      <c r="P116" s="273"/>
      <c r="Q116" s="257" t="s">
        <v>345</v>
      </c>
      <c r="R116" s="257">
        <f>Charisma_Mod</f>
        <v>-4</v>
      </c>
      <c r="S116" s="257" t="s">
        <v>345</v>
      </c>
      <c r="T116" s="257">
        <f>IF(OR(O114&gt;4,P114&gt;4),2,0)</f>
        <v>0</v>
      </c>
      <c r="U116" s="257" t="s">
        <v>345</v>
      </c>
      <c r="V116" s="47"/>
      <c r="W116" s="7"/>
      <c r="X116" s="335"/>
      <c r="Y116" s="335"/>
      <c r="Z116" s="335"/>
      <c r="AA116" s="335"/>
      <c r="AB116" s="335"/>
      <c r="AC116" s="335"/>
      <c r="AD116" s="335"/>
      <c r="AE116" s="372">
        <f>SUM(AH116:AI116,AK116,AM116,AO116)</f>
        <v>-4</v>
      </c>
      <c r="AF116" s="373"/>
      <c r="AG116" s="28" t="s">
        <v>344</v>
      </c>
      <c r="AH116" s="47"/>
      <c r="AI116" s="273"/>
      <c r="AJ116" s="268" t="s">
        <v>345</v>
      </c>
      <c r="AK116" s="257">
        <f>Intelligenz_Mod</f>
        <v>-4</v>
      </c>
      <c r="AL116" s="257"/>
      <c r="AM116" s="262"/>
      <c r="AN116" s="268" t="s">
        <v>345</v>
      </c>
      <c r="AO116" s="47"/>
      <c r="AP116" s="8"/>
    </row>
    <row r="117" spans="2:42" ht="16.5" customHeight="1">
      <c r="B117" s="36" t="s">
        <v>27</v>
      </c>
      <c r="C117" s="13" t="s">
        <v>515</v>
      </c>
      <c r="D117" s="13"/>
      <c r="E117" s="13"/>
      <c r="F117" s="13"/>
      <c r="G117" s="13"/>
      <c r="H117" s="7"/>
      <c r="I117" s="19"/>
      <c r="J117" s="63" t="s">
        <v>521</v>
      </c>
      <c r="K117" s="7"/>
      <c r="L117" s="372">
        <f t="shared" si="0"/>
        <v>-4</v>
      </c>
      <c r="M117" s="373"/>
      <c r="N117" s="28" t="s">
        <v>344</v>
      </c>
      <c r="O117" s="47"/>
      <c r="P117" s="273"/>
      <c r="Q117" s="257" t="s">
        <v>345</v>
      </c>
      <c r="R117" s="257">
        <f>Weisheit_Mod</f>
        <v>-4</v>
      </c>
      <c r="S117" s="257"/>
      <c r="T117" s="262"/>
      <c r="U117" s="257" t="s">
        <v>345</v>
      </c>
      <c r="V117" s="47"/>
      <c r="W117" s="7"/>
      <c r="X117" s="335"/>
      <c r="Y117" s="335"/>
      <c r="Z117" s="335"/>
      <c r="AA117" s="335"/>
      <c r="AB117" s="335"/>
      <c r="AC117" s="335"/>
      <c r="AD117" s="335"/>
      <c r="AE117" s="372">
        <f>SUM(AH117:AI117,AK117,AM117,AO117)</f>
        <v>-4</v>
      </c>
      <c r="AF117" s="373"/>
      <c r="AG117" s="28" t="s">
        <v>344</v>
      </c>
      <c r="AH117" s="47"/>
      <c r="AI117" s="273"/>
      <c r="AJ117" s="268" t="s">
        <v>345</v>
      </c>
      <c r="AK117" s="257">
        <f>Intelligenz_Mod</f>
        <v>-4</v>
      </c>
      <c r="AL117" s="257"/>
      <c r="AM117" s="262"/>
      <c r="AN117" s="268" t="s">
        <v>345</v>
      </c>
      <c r="AO117" s="47"/>
      <c r="AP117" s="8"/>
    </row>
    <row r="118" spans="2:42" ht="16.5" customHeight="1">
      <c r="B118" s="36" t="s">
        <v>27</v>
      </c>
      <c r="C118" s="13" t="s">
        <v>102</v>
      </c>
      <c r="D118" s="13"/>
      <c r="E118" s="13"/>
      <c r="F118" s="13"/>
      <c r="G118" s="13"/>
      <c r="H118" s="7"/>
      <c r="I118" s="19"/>
      <c r="J118" s="63" t="s">
        <v>521</v>
      </c>
      <c r="K118" s="7"/>
      <c r="L118" s="372">
        <f t="shared" si="0"/>
        <v>-4</v>
      </c>
      <c r="M118" s="373"/>
      <c r="N118" s="28" t="s">
        <v>344</v>
      </c>
      <c r="O118" s="47"/>
      <c r="P118" s="273"/>
      <c r="Q118" s="257" t="s">
        <v>345</v>
      </c>
      <c r="R118" s="257">
        <f>Geschicklichkeit_Mod</f>
        <v>-4</v>
      </c>
      <c r="S118" s="257" t="s">
        <v>345</v>
      </c>
      <c r="T118" s="264">
        <f>Zwischenwerte!A488</f>
        <v>0</v>
      </c>
      <c r="U118" s="257" t="s">
        <v>345</v>
      </c>
      <c r="V118" s="47"/>
      <c r="W118" s="7"/>
      <c r="X118" s="335"/>
      <c r="Y118" s="335"/>
      <c r="Z118" s="335"/>
      <c r="AA118" s="335"/>
      <c r="AB118" s="335"/>
      <c r="AC118" s="335"/>
      <c r="AD118" s="335"/>
      <c r="AE118" s="372">
        <f>SUM(AH118:AI118,AK118,AM118,AO118)</f>
        <v>-4</v>
      </c>
      <c r="AF118" s="373"/>
      <c r="AG118" s="28" t="s">
        <v>344</v>
      </c>
      <c r="AH118" s="47"/>
      <c r="AI118" s="273"/>
      <c r="AJ118" s="268" t="s">
        <v>345</v>
      </c>
      <c r="AK118" s="257">
        <f>Intelligenz_Mod</f>
        <v>-4</v>
      </c>
      <c r="AL118" s="257"/>
      <c r="AM118" s="262"/>
      <c r="AN118" s="268" t="s">
        <v>345</v>
      </c>
      <c r="AO118" s="47"/>
      <c r="AP118" s="8"/>
    </row>
    <row r="119" spans="2:42" ht="16.5" customHeight="1">
      <c r="B119" s="36" t="s">
        <v>27</v>
      </c>
      <c r="C119" s="13" t="s">
        <v>22</v>
      </c>
      <c r="D119" s="13"/>
      <c r="E119" s="13"/>
      <c r="F119" s="13"/>
      <c r="G119" s="13"/>
      <c r="H119" s="7"/>
      <c r="I119" s="19"/>
      <c r="J119" s="63" t="s">
        <v>521</v>
      </c>
      <c r="K119" s="7"/>
      <c r="L119" s="372">
        <f t="shared" si="0"/>
        <v>-4</v>
      </c>
      <c r="M119" s="373"/>
      <c r="N119" s="28" t="s">
        <v>344</v>
      </c>
      <c r="O119" s="47"/>
      <c r="P119" s="273"/>
      <c r="Q119" s="257" t="s">
        <v>345</v>
      </c>
      <c r="R119" s="257">
        <f>Weisheit_Mod</f>
        <v>-4</v>
      </c>
      <c r="S119" s="257"/>
      <c r="T119" s="262"/>
      <c r="U119" s="257" t="s">
        <v>345</v>
      </c>
      <c r="V119" s="4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261"/>
      <c r="AK119" s="263"/>
      <c r="AL119" s="263"/>
      <c r="AM119" s="272"/>
      <c r="AN119" s="261"/>
      <c r="AO119" s="7"/>
      <c r="AP119" s="7"/>
    </row>
    <row r="120" spans="2:42" ht="16.5" customHeight="1">
      <c r="B120" s="36" t="s">
        <v>27</v>
      </c>
      <c r="C120" s="13" t="s">
        <v>504</v>
      </c>
      <c r="D120" s="13"/>
      <c r="E120" s="13"/>
      <c r="F120" s="13"/>
      <c r="G120" s="13"/>
      <c r="H120" s="7"/>
      <c r="I120" s="19"/>
      <c r="J120" s="63" t="s">
        <v>521</v>
      </c>
      <c r="K120" s="7"/>
      <c r="L120" s="372">
        <f t="shared" si="0"/>
        <v>-4</v>
      </c>
      <c r="M120" s="373"/>
      <c r="N120" s="28" t="s">
        <v>344</v>
      </c>
      <c r="O120" s="47"/>
      <c r="P120" s="273"/>
      <c r="Q120" s="257" t="s">
        <v>345</v>
      </c>
      <c r="R120" s="257">
        <f>Intelligenz_Mod</f>
        <v>-4</v>
      </c>
      <c r="S120" s="257"/>
      <c r="T120" s="262"/>
      <c r="U120" s="257" t="s">
        <v>345</v>
      </c>
      <c r="V120" s="47"/>
      <c r="W120" s="7"/>
      <c r="X120" s="326" t="s">
        <v>527</v>
      </c>
      <c r="Y120" s="326"/>
      <c r="Z120" s="326"/>
      <c r="AA120" s="326"/>
      <c r="AB120" s="326"/>
      <c r="AC120" s="326"/>
      <c r="AD120" s="326"/>
      <c r="AE120" s="8"/>
      <c r="AF120" s="8"/>
      <c r="AG120" s="325"/>
      <c r="AH120" s="325"/>
      <c r="AI120" s="49" t="s">
        <v>256</v>
      </c>
      <c r="AJ120" s="263"/>
      <c r="AK120" s="263"/>
      <c r="AL120" s="263"/>
      <c r="AM120" s="272"/>
      <c r="AN120" s="263"/>
      <c r="AO120" s="7"/>
      <c r="AP120" s="7"/>
    </row>
    <row r="121" spans="2:42" ht="16.5" customHeight="1">
      <c r="B121" s="36" t="s">
        <v>27</v>
      </c>
      <c r="C121" s="13" t="s">
        <v>501</v>
      </c>
      <c r="D121" s="13"/>
      <c r="E121" s="13"/>
      <c r="F121" s="13"/>
      <c r="G121" s="13"/>
      <c r="H121" s="7"/>
      <c r="I121" s="19"/>
      <c r="J121" s="63" t="s">
        <v>521</v>
      </c>
      <c r="K121" s="7"/>
      <c r="L121" s="11" t="s">
        <v>0</v>
      </c>
      <c r="M121" s="7"/>
      <c r="N121" s="7"/>
      <c r="O121" s="7"/>
      <c r="P121" s="7"/>
      <c r="Q121" s="263"/>
      <c r="R121" s="263"/>
      <c r="S121" s="263"/>
      <c r="T121" s="263"/>
      <c r="U121" s="263"/>
      <c r="V121" s="7"/>
      <c r="W121" s="7"/>
      <c r="X121" s="7"/>
      <c r="Y121" s="7"/>
      <c r="Z121" s="7"/>
      <c r="AA121" s="7"/>
      <c r="AB121" s="7"/>
      <c r="AC121" s="7"/>
      <c r="AD121" s="7"/>
      <c r="AE121" s="372">
        <f>SUM(AH121:AI121,AK121,AM121,AO121)</f>
        <v>-4</v>
      </c>
      <c r="AF121" s="373"/>
      <c r="AG121" s="28" t="s">
        <v>344</v>
      </c>
      <c r="AH121" s="47"/>
      <c r="AI121" s="273"/>
      <c r="AJ121" s="268" t="s">
        <v>345</v>
      </c>
      <c r="AK121" s="257">
        <f>Charisma_Mod</f>
        <v>-4</v>
      </c>
      <c r="AL121" s="257" t="s">
        <v>345</v>
      </c>
      <c r="AM121" s="264">
        <f>Reputation</f>
        <v>0</v>
      </c>
      <c r="AN121" s="268" t="s">
        <v>345</v>
      </c>
      <c r="AO121" s="47"/>
      <c r="AP121" s="7"/>
    </row>
    <row r="122" spans="2:42" ht="16.5" customHeight="1">
      <c r="B122" s="36" t="s">
        <v>27</v>
      </c>
      <c r="C122" s="13" t="s">
        <v>500</v>
      </c>
      <c r="D122" s="13"/>
      <c r="E122" s="13"/>
      <c r="F122" s="13"/>
      <c r="G122" s="13"/>
      <c r="H122" s="7"/>
      <c r="I122" s="19"/>
      <c r="J122" s="63" t="s">
        <v>521</v>
      </c>
      <c r="K122" s="7"/>
      <c r="L122" s="372">
        <f>SUM(O122:P122,R122,T122,V122)</f>
        <v>-4</v>
      </c>
      <c r="M122" s="373"/>
      <c r="N122" s="28" t="s">
        <v>344</v>
      </c>
      <c r="O122" s="47"/>
      <c r="P122" s="273"/>
      <c r="Q122" s="257" t="s">
        <v>345</v>
      </c>
      <c r="R122" s="257">
        <f>Stärke_Mod</f>
        <v>-4</v>
      </c>
      <c r="S122" s="257" t="s">
        <v>345</v>
      </c>
      <c r="T122" s="264">
        <f>Zwischenwerte!A488</f>
        <v>0</v>
      </c>
      <c r="U122" s="257" t="s">
        <v>345</v>
      </c>
      <c r="V122" s="47"/>
      <c r="W122" s="7"/>
      <c r="X122" s="7"/>
      <c r="Y122" s="7"/>
      <c r="Z122" s="7"/>
      <c r="AA122" s="7"/>
      <c r="AB122" s="7"/>
      <c r="AC122" s="7"/>
      <c r="AD122" s="7"/>
      <c r="AE122" s="372">
        <f>SUM(AH122:AI122,AK122,AM122,AO122)</f>
        <v>-4</v>
      </c>
      <c r="AF122" s="373"/>
      <c r="AG122" s="28" t="s">
        <v>344</v>
      </c>
      <c r="AH122" s="47"/>
      <c r="AI122" s="273"/>
      <c r="AJ122" s="268" t="s">
        <v>345</v>
      </c>
      <c r="AK122" s="257">
        <f>Charisma_Mod</f>
        <v>-4</v>
      </c>
      <c r="AL122" s="257" t="s">
        <v>345</v>
      </c>
      <c r="AM122" s="264">
        <f>Reputation</f>
        <v>0</v>
      </c>
      <c r="AN122" s="268" t="s">
        <v>345</v>
      </c>
      <c r="AO122" s="47"/>
      <c r="AP122" s="7"/>
    </row>
    <row r="123" spans="2:42" ht="16.5" customHeight="1">
      <c r="B123" s="36" t="s">
        <v>27</v>
      </c>
      <c r="C123" s="13" t="s">
        <v>79</v>
      </c>
      <c r="D123" s="13"/>
      <c r="E123" s="13"/>
      <c r="F123" s="13"/>
      <c r="G123" s="13"/>
      <c r="H123" s="7"/>
      <c r="I123" s="19"/>
      <c r="J123" s="63" t="s">
        <v>521</v>
      </c>
      <c r="K123" s="7"/>
      <c r="L123" s="372">
        <f aca="true" t="shared" si="1" ref="L123:L130">SUM(O123:P123,R123,T123,V123)</f>
        <v>-4</v>
      </c>
      <c r="M123" s="373"/>
      <c r="N123" s="28" t="s">
        <v>344</v>
      </c>
      <c r="O123" s="47"/>
      <c r="P123" s="273"/>
      <c r="Q123" s="257" t="s">
        <v>345</v>
      </c>
      <c r="R123" s="257">
        <f>Konstitution_Mod</f>
        <v>-4</v>
      </c>
      <c r="S123" s="257"/>
      <c r="T123" s="262"/>
      <c r="U123" s="257" t="s">
        <v>345</v>
      </c>
      <c r="V123" s="47"/>
      <c r="W123" s="7"/>
      <c r="X123" s="7"/>
      <c r="Y123" s="7"/>
      <c r="Z123" s="7"/>
      <c r="AA123" s="7"/>
      <c r="AB123" s="7"/>
      <c r="AC123" s="7"/>
      <c r="AD123" s="7"/>
      <c r="AE123" s="372">
        <f>SUM(AH123:AI123,AK123,AM123,AO123)</f>
        <v>-4</v>
      </c>
      <c r="AF123" s="373"/>
      <c r="AG123" s="28" t="s">
        <v>344</v>
      </c>
      <c r="AH123" s="47"/>
      <c r="AI123" s="273"/>
      <c r="AJ123" s="268" t="s">
        <v>345</v>
      </c>
      <c r="AK123" s="257">
        <f>Charisma_Mod</f>
        <v>-4</v>
      </c>
      <c r="AL123" s="257" t="s">
        <v>345</v>
      </c>
      <c r="AM123" s="264">
        <f>Reputation</f>
        <v>0</v>
      </c>
      <c r="AN123" s="268" t="s">
        <v>345</v>
      </c>
      <c r="AO123" s="47"/>
      <c r="AP123" s="7"/>
    </row>
    <row r="124" spans="2:42" ht="16.5" customHeight="1">
      <c r="B124" s="36" t="s">
        <v>27</v>
      </c>
      <c r="C124" s="13" t="s">
        <v>509</v>
      </c>
      <c r="D124" s="13"/>
      <c r="E124" s="13"/>
      <c r="F124" s="13"/>
      <c r="G124" s="13"/>
      <c r="H124" s="7"/>
      <c r="I124" s="19"/>
      <c r="J124" s="63" t="s">
        <v>521</v>
      </c>
      <c r="K124" s="7"/>
      <c r="L124" s="372">
        <f t="shared" si="1"/>
        <v>-4</v>
      </c>
      <c r="M124" s="373"/>
      <c r="N124" s="28" t="s">
        <v>344</v>
      </c>
      <c r="O124" s="47"/>
      <c r="P124" s="273"/>
      <c r="Q124" s="257" t="s">
        <v>345</v>
      </c>
      <c r="R124" s="257">
        <f>Weisheit_Mod</f>
        <v>-4</v>
      </c>
      <c r="S124" s="257"/>
      <c r="T124" s="262"/>
      <c r="U124" s="257" t="s">
        <v>345</v>
      </c>
      <c r="V124" s="4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261"/>
      <c r="AK124" s="261"/>
      <c r="AL124" s="261"/>
      <c r="AM124" s="261"/>
      <c r="AN124" s="261"/>
      <c r="AO124" s="7"/>
      <c r="AP124" s="7"/>
    </row>
    <row r="125" spans="2:42" ht="16.5" customHeight="1">
      <c r="B125" s="36" t="s">
        <v>27</v>
      </c>
      <c r="C125" s="13" t="s">
        <v>19</v>
      </c>
      <c r="D125" s="13"/>
      <c r="E125" s="13"/>
      <c r="F125" s="13"/>
      <c r="G125" s="13"/>
      <c r="H125" s="7"/>
      <c r="I125" s="19"/>
      <c r="J125" s="64"/>
      <c r="K125" s="7"/>
      <c r="L125" s="372">
        <f t="shared" si="1"/>
        <v>-4</v>
      </c>
      <c r="M125" s="373"/>
      <c r="N125" s="28" t="s">
        <v>344</v>
      </c>
      <c r="O125" s="47"/>
      <c r="P125" s="273"/>
      <c r="Q125" s="257" t="s">
        <v>345</v>
      </c>
      <c r="R125" s="257">
        <f>Intelligenz_Mod</f>
        <v>-4</v>
      </c>
      <c r="S125" s="257" t="s">
        <v>345</v>
      </c>
      <c r="T125" s="264">
        <f>IF(OR(O147&gt;4,P147&gt;4),2,0)</f>
        <v>0</v>
      </c>
      <c r="U125" s="257" t="s">
        <v>345</v>
      </c>
      <c r="V125" s="4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261"/>
      <c r="AK125" s="261"/>
      <c r="AL125" s="261"/>
      <c r="AM125" s="261"/>
      <c r="AN125" s="261"/>
      <c r="AO125" s="7"/>
      <c r="AP125" s="8"/>
    </row>
    <row r="126" spans="2:42" ht="16.5" customHeight="1">
      <c r="B126" s="36" t="s">
        <v>27</v>
      </c>
      <c r="C126" s="13" t="s">
        <v>103</v>
      </c>
      <c r="D126" s="13"/>
      <c r="E126" s="13"/>
      <c r="F126" s="13"/>
      <c r="G126" s="13"/>
      <c r="H126" s="7"/>
      <c r="I126" s="19"/>
      <c r="J126" s="64"/>
      <c r="K126" s="7"/>
      <c r="L126" s="372">
        <f t="shared" si="1"/>
        <v>-4</v>
      </c>
      <c r="M126" s="373"/>
      <c r="N126" s="28" t="s">
        <v>344</v>
      </c>
      <c r="O126" s="47"/>
      <c r="P126" s="273"/>
      <c r="Q126" s="257" t="s">
        <v>345</v>
      </c>
      <c r="R126" s="257">
        <f>Intelligenz_Mod</f>
        <v>-4</v>
      </c>
      <c r="S126" s="257"/>
      <c r="T126" s="262"/>
      <c r="U126" s="257" t="s">
        <v>345</v>
      </c>
      <c r="V126" s="4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261"/>
      <c r="AK126" s="261"/>
      <c r="AL126" s="261"/>
      <c r="AM126" s="261"/>
      <c r="AN126" s="261"/>
      <c r="AO126" s="7"/>
      <c r="AP126" s="8"/>
    </row>
    <row r="127" spans="2:42" ht="16.5" customHeight="1">
      <c r="B127" s="36" t="s">
        <v>27</v>
      </c>
      <c r="C127" s="13" t="s">
        <v>104</v>
      </c>
      <c r="D127" s="13"/>
      <c r="E127" s="13"/>
      <c r="F127" s="13"/>
      <c r="G127" s="13"/>
      <c r="H127" s="7"/>
      <c r="I127" s="19"/>
      <c r="J127" s="63" t="s">
        <v>521</v>
      </c>
      <c r="K127" s="7"/>
      <c r="L127" s="372">
        <f t="shared" si="1"/>
        <v>-4</v>
      </c>
      <c r="M127" s="373"/>
      <c r="N127" s="28" t="s">
        <v>344</v>
      </c>
      <c r="O127" s="47"/>
      <c r="P127" s="273"/>
      <c r="Q127" s="257" t="s">
        <v>345</v>
      </c>
      <c r="R127" s="257">
        <f>Intelligenz_Mod</f>
        <v>-4</v>
      </c>
      <c r="S127" s="257"/>
      <c r="T127" s="262"/>
      <c r="U127" s="257" t="s">
        <v>345</v>
      </c>
      <c r="V127" s="4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261"/>
      <c r="AK127" s="261"/>
      <c r="AL127" s="261"/>
      <c r="AM127" s="261"/>
      <c r="AN127" s="261"/>
      <c r="AO127" s="7"/>
      <c r="AP127" s="8"/>
    </row>
    <row r="128" spans="2:42" ht="16.5" customHeight="1">
      <c r="B128" s="36" t="s">
        <v>27</v>
      </c>
      <c r="C128" s="13" t="s">
        <v>519</v>
      </c>
      <c r="D128" s="13"/>
      <c r="E128" s="13"/>
      <c r="F128" s="13"/>
      <c r="G128" s="13"/>
      <c r="H128" s="7"/>
      <c r="I128" s="19"/>
      <c r="J128" s="63" t="s">
        <v>521</v>
      </c>
      <c r="K128" s="29" t="s">
        <v>522</v>
      </c>
      <c r="L128" s="372">
        <f t="shared" si="1"/>
        <v>-4</v>
      </c>
      <c r="M128" s="373"/>
      <c r="N128" s="28" t="s">
        <v>344</v>
      </c>
      <c r="O128" s="47"/>
      <c r="P128" s="273"/>
      <c r="Q128" s="257" t="s">
        <v>345</v>
      </c>
      <c r="R128" s="257">
        <f>Charisma_Mod</f>
        <v>-4</v>
      </c>
      <c r="S128" s="257" t="s">
        <v>345</v>
      </c>
      <c r="T128" s="264">
        <f>Reputation+IF(OR(AH139&gt;4,AI139&gt;4),2,0)</f>
        <v>0</v>
      </c>
      <c r="U128" s="257" t="s">
        <v>345</v>
      </c>
      <c r="V128" s="4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261"/>
      <c r="AK128" s="261"/>
      <c r="AL128" s="261"/>
      <c r="AM128" s="261"/>
      <c r="AN128" s="261"/>
      <c r="AO128" s="7"/>
      <c r="AP128" s="8"/>
    </row>
    <row r="129" spans="2:42" ht="16.5" customHeight="1">
      <c r="B129" s="36" t="s">
        <v>27</v>
      </c>
      <c r="C129" s="13" t="s">
        <v>127</v>
      </c>
      <c r="D129" s="13"/>
      <c r="E129" s="13"/>
      <c r="F129" s="13"/>
      <c r="G129" s="13"/>
      <c r="H129" s="7"/>
      <c r="I129" s="19"/>
      <c r="J129" s="64"/>
      <c r="K129" s="7"/>
      <c r="L129" s="372">
        <f t="shared" si="1"/>
        <v>-4</v>
      </c>
      <c r="M129" s="373"/>
      <c r="N129" s="28" t="s">
        <v>344</v>
      </c>
      <c r="O129" s="47"/>
      <c r="P129" s="273"/>
      <c r="Q129" s="257" t="s">
        <v>345</v>
      </c>
      <c r="R129" s="257">
        <f>Charisma_Mod</f>
        <v>-4</v>
      </c>
      <c r="S129" s="257"/>
      <c r="T129" s="262"/>
      <c r="U129" s="257" t="s">
        <v>345</v>
      </c>
      <c r="V129" s="47"/>
      <c r="W129" s="7"/>
      <c r="X129" s="7"/>
      <c r="Y129" s="29"/>
      <c r="Z129" s="334"/>
      <c r="AA129" s="334"/>
      <c r="AB129" s="334"/>
      <c r="AC129" s="334"/>
      <c r="AD129" s="334"/>
      <c r="AE129" s="334"/>
      <c r="AF129" s="334"/>
      <c r="AG129" s="7"/>
      <c r="AH129" s="7"/>
      <c r="AI129" s="7"/>
      <c r="AJ129" s="261"/>
      <c r="AK129" s="261"/>
      <c r="AL129" s="261"/>
      <c r="AM129" s="261"/>
      <c r="AN129" s="261"/>
      <c r="AO129" s="7"/>
      <c r="AP129" s="8"/>
    </row>
    <row r="130" spans="2:42" ht="16.5" customHeight="1">
      <c r="B130" s="36" t="s">
        <v>27</v>
      </c>
      <c r="C130" s="13" t="s">
        <v>362</v>
      </c>
      <c r="D130" s="13"/>
      <c r="E130" s="13"/>
      <c r="F130" s="13"/>
      <c r="G130" s="13"/>
      <c r="H130" s="7"/>
      <c r="I130" s="19"/>
      <c r="J130" s="64"/>
      <c r="K130" s="7"/>
      <c r="L130" s="372">
        <f t="shared" si="1"/>
        <v>-4</v>
      </c>
      <c r="M130" s="373"/>
      <c r="N130" s="28" t="s">
        <v>344</v>
      </c>
      <c r="O130" s="47"/>
      <c r="P130" s="273"/>
      <c r="Q130" s="257" t="s">
        <v>345</v>
      </c>
      <c r="R130" s="257">
        <f>Intelligenz_Mod</f>
        <v>-4</v>
      </c>
      <c r="S130" s="257"/>
      <c r="T130" s="262"/>
      <c r="U130" s="257" t="s">
        <v>345</v>
      </c>
      <c r="V130" s="4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261"/>
      <c r="AK130" s="261"/>
      <c r="AL130" s="261"/>
      <c r="AM130" s="261"/>
      <c r="AN130" s="261"/>
      <c r="AO130" s="7"/>
      <c r="AP130" s="8"/>
    </row>
    <row r="131" spans="2:42" ht="16.5" customHeight="1">
      <c r="B131" s="36" t="s">
        <v>27</v>
      </c>
      <c r="C131" s="13" t="s">
        <v>512</v>
      </c>
      <c r="D131" s="13"/>
      <c r="E131" s="13"/>
      <c r="F131" s="13"/>
      <c r="G131" s="13"/>
      <c r="H131" s="7"/>
      <c r="I131" s="19"/>
      <c r="J131" s="63" t="s">
        <v>521</v>
      </c>
      <c r="K131" s="7"/>
      <c r="L131" s="372">
        <f>SUM(O131:P131,R131,T131,V131)</f>
        <v>-4</v>
      </c>
      <c r="M131" s="373"/>
      <c r="N131" s="28" t="s">
        <v>344</v>
      </c>
      <c r="O131" s="47"/>
      <c r="P131" s="273"/>
      <c r="Q131" s="257" t="s">
        <v>345</v>
      </c>
      <c r="R131" s="257">
        <f>Geschicklichkeit_Mod</f>
        <v>-4</v>
      </c>
      <c r="S131" s="257" t="s">
        <v>345</v>
      </c>
      <c r="T131" s="264">
        <f>IF(OR(O141&gt;4,P141&gt;4),2,0)</f>
        <v>0</v>
      </c>
      <c r="U131" s="257" t="s">
        <v>345</v>
      </c>
      <c r="V131" s="47"/>
      <c r="W131" s="7"/>
      <c r="X131" s="408" t="s">
        <v>508</v>
      </c>
      <c r="Y131" s="408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261"/>
      <c r="AK131" s="261"/>
      <c r="AL131" s="261"/>
      <c r="AM131" s="261"/>
      <c r="AN131" s="261"/>
      <c r="AO131" s="7"/>
      <c r="AP131" s="8"/>
    </row>
    <row r="132" spans="2:42" ht="16.5" customHeight="1">
      <c r="B132" s="36" t="s">
        <v>27</v>
      </c>
      <c r="C132" s="13" t="s">
        <v>510</v>
      </c>
      <c r="D132" s="13"/>
      <c r="E132" s="13"/>
      <c r="F132" s="13"/>
      <c r="G132" s="13"/>
      <c r="H132" s="7"/>
      <c r="I132" s="19"/>
      <c r="J132" s="63" t="s">
        <v>521</v>
      </c>
      <c r="K132" s="7"/>
      <c r="L132" s="372">
        <f>SUM(O132:P132,R132,T132,V132)</f>
        <v>-4</v>
      </c>
      <c r="M132" s="373"/>
      <c r="N132" s="28" t="s">
        <v>344</v>
      </c>
      <c r="O132" s="47"/>
      <c r="P132" s="273"/>
      <c r="Q132" s="257" t="s">
        <v>345</v>
      </c>
      <c r="R132" s="257">
        <f>Geschicklichkeit_Mod</f>
        <v>-4</v>
      </c>
      <c r="S132" s="257"/>
      <c r="T132" s="262">
        <f>Zwischenwerte!A488</f>
        <v>0</v>
      </c>
      <c r="U132" s="257" t="s">
        <v>345</v>
      </c>
      <c r="V132" s="47"/>
      <c r="W132" s="7"/>
      <c r="X132" s="7" t="s">
        <v>88</v>
      </c>
      <c r="Y132" s="7"/>
      <c r="Z132" s="7"/>
      <c r="AA132" s="7"/>
      <c r="AB132" s="7"/>
      <c r="AC132" s="25"/>
      <c r="AD132" s="7"/>
      <c r="AE132" s="370">
        <f>SUM(AH132:AI132,AK132,AM132,AO132)</f>
        <v>-4</v>
      </c>
      <c r="AF132" s="371"/>
      <c r="AG132" s="28" t="s">
        <v>344</v>
      </c>
      <c r="AH132" s="47"/>
      <c r="AI132" s="273"/>
      <c r="AJ132" s="268" t="s">
        <v>345</v>
      </c>
      <c r="AK132" s="257">
        <f aca="true" t="shared" si="2" ref="AK132:AK142">Intelligenz_Mod</f>
        <v>-4</v>
      </c>
      <c r="AL132" s="257"/>
      <c r="AM132" s="262"/>
      <c r="AN132" s="268" t="s">
        <v>345</v>
      </c>
      <c r="AO132" s="47"/>
      <c r="AP132" s="8"/>
    </row>
    <row r="133" spans="2:42" ht="16.5" customHeight="1">
      <c r="B133" s="36" t="s">
        <v>27</v>
      </c>
      <c r="C133" s="13" t="s">
        <v>81</v>
      </c>
      <c r="D133" s="13"/>
      <c r="E133" s="13"/>
      <c r="F133" s="13"/>
      <c r="G133" s="13"/>
      <c r="H133" s="7"/>
      <c r="I133" s="19"/>
      <c r="J133" s="64"/>
      <c r="K133" s="7"/>
      <c r="L133" s="372">
        <f aca="true" t="shared" si="3" ref="L133:L138">SUM(O133:P133,R133,T133,V133)</f>
        <v>-4</v>
      </c>
      <c r="M133" s="373"/>
      <c r="N133" s="28" t="s">
        <v>344</v>
      </c>
      <c r="O133" s="47"/>
      <c r="P133" s="273"/>
      <c r="Q133" s="257" t="s">
        <v>345</v>
      </c>
      <c r="R133" s="257">
        <f>Geschicklichkeit_Mod</f>
        <v>-4</v>
      </c>
      <c r="S133" s="257"/>
      <c r="T133" s="262"/>
      <c r="U133" s="257" t="s">
        <v>345</v>
      </c>
      <c r="V133" s="47"/>
      <c r="W133" s="7"/>
      <c r="X133" s="7" t="s">
        <v>523</v>
      </c>
      <c r="Y133" s="7"/>
      <c r="Z133" s="7"/>
      <c r="AA133" s="7"/>
      <c r="AB133" s="7"/>
      <c r="AC133" s="25"/>
      <c r="AD133" s="7"/>
      <c r="AE133" s="370">
        <f aca="true" t="shared" si="4" ref="AE133:AE142">SUM(AH133:AI133,AK133,AM133,AO133)</f>
        <v>-4</v>
      </c>
      <c r="AF133" s="371"/>
      <c r="AG133" s="28" t="s">
        <v>344</v>
      </c>
      <c r="AH133" s="47"/>
      <c r="AI133" s="273"/>
      <c r="AJ133" s="268" t="s">
        <v>345</v>
      </c>
      <c r="AK133" s="257">
        <f t="shared" si="2"/>
        <v>-4</v>
      </c>
      <c r="AL133" s="257"/>
      <c r="AM133" s="262"/>
      <c r="AN133" s="268" t="s">
        <v>345</v>
      </c>
      <c r="AO133" s="47"/>
      <c r="AP133" s="8"/>
    </row>
    <row r="134" spans="2:42" ht="16.5" customHeight="1">
      <c r="B134" s="36" t="s">
        <v>27</v>
      </c>
      <c r="C134" s="13" t="s">
        <v>80</v>
      </c>
      <c r="D134" s="13"/>
      <c r="E134" s="13"/>
      <c r="F134" s="13"/>
      <c r="G134" s="13"/>
      <c r="H134" s="7"/>
      <c r="I134" s="19"/>
      <c r="J134" s="64"/>
      <c r="K134" s="7"/>
      <c r="L134" s="372">
        <f t="shared" si="3"/>
        <v>-4</v>
      </c>
      <c r="M134" s="373"/>
      <c r="N134" s="28" t="s">
        <v>344</v>
      </c>
      <c r="O134" s="47"/>
      <c r="P134" s="273"/>
      <c r="Q134" s="257" t="s">
        <v>345</v>
      </c>
      <c r="R134" s="257">
        <f>Intelligenz_Mod</f>
        <v>-4</v>
      </c>
      <c r="S134" s="257"/>
      <c r="T134" s="262"/>
      <c r="U134" s="257" t="s">
        <v>345</v>
      </c>
      <c r="V134" s="47"/>
      <c r="W134" s="7"/>
      <c r="X134" s="7" t="s">
        <v>84</v>
      </c>
      <c r="Y134" s="7"/>
      <c r="Z134" s="7"/>
      <c r="AA134" s="7"/>
      <c r="AB134" s="7"/>
      <c r="AC134" s="25"/>
      <c r="AD134" s="7"/>
      <c r="AE134" s="370">
        <f t="shared" si="4"/>
        <v>-4</v>
      </c>
      <c r="AF134" s="371"/>
      <c r="AG134" s="28" t="s">
        <v>344</v>
      </c>
      <c r="AH134" s="47"/>
      <c r="AI134" s="273"/>
      <c r="AJ134" s="268" t="s">
        <v>345</v>
      </c>
      <c r="AK134" s="257">
        <f t="shared" si="2"/>
        <v>-4</v>
      </c>
      <c r="AL134" s="257"/>
      <c r="AM134" s="262"/>
      <c r="AN134" s="268" t="s">
        <v>345</v>
      </c>
      <c r="AO134" s="47"/>
      <c r="AP134" s="8"/>
    </row>
    <row r="135" spans="2:42" ht="16.5" customHeight="1">
      <c r="B135" s="36" t="s">
        <v>27</v>
      </c>
      <c r="C135" s="13" t="s">
        <v>491</v>
      </c>
      <c r="D135" s="13"/>
      <c r="E135" s="13"/>
      <c r="F135" s="13"/>
      <c r="G135" s="13"/>
      <c r="H135" s="7"/>
      <c r="I135" s="19"/>
      <c r="J135" s="63" t="s">
        <v>521</v>
      </c>
      <c r="K135" s="7"/>
      <c r="L135" s="372">
        <f t="shared" si="3"/>
        <v>-4</v>
      </c>
      <c r="M135" s="373"/>
      <c r="N135" s="28" t="s">
        <v>344</v>
      </c>
      <c r="O135" s="47"/>
      <c r="P135" s="273"/>
      <c r="Q135" s="257" t="s">
        <v>345</v>
      </c>
      <c r="R135" s="257">
        <f>Stärke_Mod</f>
        <v>-4</v>
      </c>
      <c r="S135" s="257"/>
      <c r="T135" s="262">
        <f>Zwischenwerte!A488</f>
        <v>0</v>
      </c>
      <c r="U135" s="257" t="s">
        <v>345</v>
      </c>
      <c r="V135" s="47"/>
      <c r="W135" s="7"/>
      <c r="X135" s="7" t="s">
        <v>90</v>
      </c>
      <c r="Y135" s="7"/>
      <c r="Z135" s="7"/>
      <c r="AA135" s="7"/>
      <c r="AB135" s="7"/>
      <c r="AC135" s="25"/>
      <c r="AD135" s="7"/>
      <c r="AE135" s="370">
        <f t="shared" si="4"/>
        <v>-4</v>
      </c>
      <c r="AF135" s="371"/>
      <c r="AG135" s="28" t="s">
        <v>344</v>
      </c>
      <c r="AH135" s="47"/>
      <c r="AI135" s="273"/>
      <c r="AJ135" s="268" t="s">
        <v>345</v>
      </c>
      <c r="AK135" s="257">
        <f t="shared" si="2"/>
        <v>-4</v>
      </c>
      <c r="AL135" s="257"/>
      <c r="AM135" s="262"/>
      <c r="AN135" s="268" t="s">
        <v>345</v>
      </c>
      <c r="AO135" s="47"/>
      <c r="AP135" s="8"/>
    </row>
    <row r="136" spans="2:42" ht="16.5" customHeight="1">
      <c r="B136" s="36" t="s">
        <v>27</v>
      </c>
      <c r="C136" s="13" t="s">
        <v>83</v>
      </c>
      <c r="D136" s="13"/>
      <c r="E136" s="13"/>
      <c r="F136" s="13"/>
      <c r="G136" s="13"/>
      <c r="H136" s="7"/>
      <c r="I136" s="19"/>
      <c r="J136" s="63" t="s">
        <v>521</v>
      </c>
      <c r="K136" s="7"/>
      <c r="L136" s="372">
        <f t="shared" si="3"/>
        <v>-4</v>
      </c>
      <c r="M136" s="373"/>
      <c r="N136" s="28" t="s">
        <v>344</v>
      </c>
      <c r="O136" s="47"/>
      <c r="P136" s="273"/>
      <c r="Q136" s="257" t="s">
        <v>345</v>
      </c>
      <c r="R136" s="257">
        <f>Geschicklichkeit_Mod</f>
        <v>-4</v>
      </c>
      <c r="S136" s="257" t="s">
        <v>345</v>
      </c>
      <c r="T136" s="264" t="s">
        <v>246</v>
      </c>
      <c r="U136" s="257" t="s">
        <v>345</v>
      </c>
      <c r="V136" s="47"/>
      <c r="W136" s="7"/>
      <c r="X136" s="7" t="s">
        <v>524</v>
      </c>
      <c r="Y136" s="7"/>
      <c r="Z136" s="7"/>
      <c r="AA136" s="7"/>
      <c r="AB136" s="7"/>
      <c r="AC136" s="25"/>
      <c r="AD136" s="7"/>
      <c r="AE136" s="370">
        <f t="shared" si="4"/>
        <v>-4</v>
      </c>
      <c r="AF136" s="371"/>
      <c r="AG136" s="28" t="s">
        <v>344</v>
      </c>
      <c r="AH136" s="47"/>
      <c r="AI136" s="273"/>
      <c r="AJ136" s="268" t="s">
        <v>345</v>
      </c>
      <c r="AK136" s="257">
        <f t="shared" si="2"/>
        <v>-4</v>
      </c>
      <c r="AL136" s="257"/>
      <c r="AM136" s="262"/>
      <c r="AN136" s="268" t="s">
        <v>345</v>
      </c>
      <c r="AO136" s="47"/>
      <c r="AP136" s="8"/>
    </row>
    <row r="137" spans="2:42" ht="16.5" customHeight="1">
      <c r="B137" s="36" t="s">
        <v>27</v>
      </c>
      <c r="C137" s="13" t="s">
        <v>92</v>
      </c>
      <c r="D137" s="13"/>
      <c r="E137" s="13"/>
      <c r="F137" s="13"/>
      <c r="G137" s="13"/>
      <c r="H137" s="7"/>
      <c r="I137" s="19"/>
      <c r="J137" s="64"/>
      <c r="K137" s="7"/>
      <c r="L137" s="372">
        <f t="shared" si="3"/>
        <v>-4</v>
      </c>
      <c r="M137" s="373"/>
      <c r="N137" s="28" t="s">
        <v>344</v>
      </c>
      <c r="O137" s="47"/>
      <c r="P137" s="273"/>
      <c r="Q137" s="257" t="s">
        <v>345</v>
      </c>
      <c r="R137" s="257">
        <f>Weisheit_Mod</f>
        <v>-4</v>
      </c>
      <c r="S137" s="257"/>
      <c r="T137" s="262"/>
      <c r="U137" s="257" t="s">
        <v>345</v>
      </c>
      <c r="V137" s="47"/>
      <c r="W137" s="7"/>
      <c r="X137" s="7" t="s">
        <v>525</v>
      </c>
      <c r="Y137" s="7"/>
      <c r="Z137" s="7"/>
      <c r="AA137" s="7"/>
      <c r="AB137" s="7"/>
      <c r="AC137" s="25"/>
      <c r="AD137" s="7"/>
      <c r="AE137" s="370">
        <f t="shared" si="4"/>
        <v>-4</v>
      </c>
      <c r="AF137" s="371"/>
      <c r="AG137" s="28" t="s">
        <v>344</v>
      </c>
      <c r="AH137" s="47"/>
      <c r="AI137" s="273"/>
      <c r="AJ137" s="268" t="s">
        <v>345</v>
      </c>
      <c r="AK137" s="257">
        <f t="shared" si="2"/>
        <v>-4</v>
      </c>
      <c r="AL137" s="257"/>
      <c r="AM137" s="262"/>
      <c r="AN137" s="268" t="s">
        <v>345</v>
      </c>
      <c r="AO137" s="47"/>
      <c r="AP137" s="8"/>
    </row>
    <row r="138" spans="2:42" ht="16.5" customHeight="1">
      <c r="B138" s="36" t="s">
        <v>27</v>
      </c>
      <c r="C138" s="13" t="s">
        <v>507</v>
      </c>
      <c r="D138" s="13"/>
      <c r="E138" s="13"/>
      <c r="F138" s="13"/>
      <c r="G138" s="13"/>
      <c r="H138" s="7"/>
      <c r="I138" s="19"/>
      <c r="J138" s="63" t="s">
        <v>521</v>
      </c>
      <c r="K138" s="7"/>
      <c r="L138" s="372">
        <f t="shared" si="3"/>
        <v>-4</v>
      </c>
      <c r="M138" s="373"/>
      <c r="N138" s="28" t="s">
        <v>344</v>
      </c>
      <c r="O138" s="47"/>
      <c r="P138" s="273"/>
      <c r="Q138" s="257" t="s">
        <v>345</v>
      </c>
      <c r="R138" s="257">
        <f>Stärke_Mod</f>
        <v>-4</v>
      </c>
      <c r="S138" s="257" t="s">
        <v>345</v>
      </c>
      <c r="T138" s="262">
        <f>IF(OR(O111&gt;4,P111&gt;4),2,0)+Zwischenwerte!A488</f>
        <v>0</v>
      </c>
      <c r="U138" s="257" t="s">
        <v>345</v>
      </c>
      <c r="V138" s="47"/>
      <c r="W138" s="7"/>
      <c r="X138" s="7" t="s">
        <v>85</v>
      </c>
      <c r="Y138" s="7"/>
      <c r="Z138" s="7"/>
      <c r="AA138" s="7"/>
      <c r="AB138" s="7"/>
      <c r="AC138" s="25"/>
      <c r="AD138" s="7"/>
      <c r="AE138" s="370">
        <f t="shared" si="4"/>
        <v>-4</v>
      </c>
      <c r="AF138" s="371"/>
      <c r="AG138" s="28" t="s">
        <v>344</v>
      </c>
      <c r="AH138" s="47"/>
      <c r="AI138" s="273"/>
      <c r="AJ138" s="268" t="s">
        <v>345</v>
      </c>
      <c r="AK138" s="257">
        <f t="shared" si="2"/>
        <v>-4</v>
      </c>
      <c r="AL138" s="257"/>
      <c r="AM138" s="262"/>
      <c r="AN138" s="268" t="s">
        <v>345</v>
      </c>
      <c r="AO138" s="47"/>
      <c r="AP138" s="8"/>
    </row>
    <row r="139" spans="2:42" ht="16.5" customHeight="1">
      <c r="B139" s="36" t="s">
        <v>27</v>
      </c>
      <c r="C139" s="13" t="s">
        <v>513</v>
      </c>
      <c r="D139" s="13"/>
      <c r="E139" s="13"/>
      <c r="F139" s="13"/>
      <c r="G139" s="13"/>
      <c r="H139" s="7"/>
      <c r="I139" s="19"/>
      <c r="J139" s="63" t="s">
        <v>521</v>
      </c>
      <c r="K139" s="7"/>
      <c r="L139" s="372">
        <f>SUM(O139:P139,R139,T139,V139)</f>
        <v>-4</v>
      </c>
      <c r="M139" s="373"/>
      <c r="N139" s="28" t="s">
        <v>344</v>
      </c>
      <c r="O139" s="47"/>
      <c r="P139" s="273"/>
      <c r="Q139" s="257" t="s">
        <v>345</v>
      </c>
      <c r="R139" s="257">
        <f>Intelligenz_Mod</f>
        <v>-4</v>
      </c>
      <c r="S139" s="257" t="s">
        <v>345</v>
      </c>
      <c r="T139" s="262" t="s">
        <v>246</v>
      </c>
      <c r="U139" s="257" t="s">
        <v>345</v>
      </c>
      <c r="V139" s="47"/>
      <c r="W139" s="7"/>
      <c r="X139" s="7" t="s">
        <v>86</v>
      </c>
      <c r="Y139" s="7"/>
      <c r="Z139" s="7"/>
      <c r="AA139" s="7"/>
      <c r="AB139" s="7"/>
      <c r="AC139" s="25"/>
      <c r="AD139" s="7"/>
      <c r="AE139" s="370">
        <f t="shared" si="4"/>
        <v>-4</v>
      </c>
      <c r="AF139" s="371"/>
      <c r="AG139" s="28" t="s">
        <v>344</v>
      </c>
      <c r="AH139" s="47"/>
      <c r="AI139" s="273"/>
      <c r="AJ139" s="268" t="s">
        <v>345</v>
      </c>
      <c r="AK139" s="257">
        <f t="shared" si="2"/>
        <v>-4</v>
      </c>
      <c r="AL139" s="257"/>
      <c r="AM139" s="262"/>
      <c r="AN139" s="268" t="s">
        <v>345</v>
      </c>
      <c r="AO139" s="47"/>
      <c r="AP139" s="8"/>
    </row>
    <row r="140" spans="2:42" ht="16.5" customHeight="1">
      <c r="B140" s="36" t="s">
        <v>27</v>
      </c>
      <c r="C140" s="13" t="s">
        <v>514</v>
      </c>
      <c r="D140" s="13"/>
      <c r="E140" s="13"/>
      <c r="F140" s="13"/>
      <c r="G140" s="13"/>
      <c r="H140" s="7"/>
      <c r="I140" s="19"/>
      <c r="J140" s="64"/>
      <c r="K140" s="7"/>
      <c r="L140" s="372">
        <f>SUM(O140:P140,R140,T140,V140)</f>
        <v>-4</v>
      </c>
      <c r="M140" s="373"/>
      <c r="N140" s="28" t="s">
        <v>344</v>
      </c>
      <c r="O140" s="47"/>
      <c r="P140" s="273"/>
      <c r="Q140" s="257" t="s">
        <v>345</v>
      </c>
      <c r="R140" s="257">
        <f>Geschicklichkeit_Mod</f>
        <v>-4</v>
      </c>
      <c r="S140" s="257" t="s">
        <v>345</v>
      </c>
      <c r="T140" s="262">
        <f>IF(OR(O114&gt;4,P114&gt;4),2,0)+Zwischenwerte!A488</f>
        <v>0</v>
      </c>
      <c r="U140" s="257" t="s">
        <v>345</v>
      </c>
      <c r="V140" s="47"/>
      <c r="W140" s="7"/>
      <c r="X140" s="7" t="s">
        <v>87</v>
      </c>
      <c r="Y140" s="7"/>
      <c r="Z140" s="7"/>
      <c r="AA140" s="7"/>
      <c r="AB140" s="7"/>
      <c r="AC140" s="25"/>
      <c r="AD140" s="7"/>
      <c r="AE140" s="370">
        <f t="shared" si="4"/>
        <v>-4</v>
      </c>
      <c r="AF140" s="371"/>
      <c r="AG140" s="28" t="s">
        <v>344</v>
      </c>
      <c r="AH140" s="47"/>
      <c r="AI140" s="273"/>
      <c r="AJ140" s="268" t="s">
        <v>345</v>
      </c>
      <c r="AK140" s="257">
        <f t="shared" si="2"/>
        <v>-4</v>
      </c>
      <c r="AL140" s="257" t="s">
        <v>345</v>
      </c>
      <c r="AM140" s="264">
        <f>IF(OR(O142&gt;4,P142&gt;4),2,0)</f>
        <v>0</v>
      </c>
      <c r="AN140" s="268" t="s">
        <v>345</v>
      </c>
      <c r="AO140" s="47"/>
      <c r="AP140" s="8"/>
    </row>
    <row r="141" spans="2:42" ht="16.5" customHeight="1">
      <c r="B141" s="36" t="s">
        <v>27</v>
      </c>
      <c r="C141" s="13" t="s">
        <v>518</v>
      </c>
      <c r="D141" s="13"/>
      <c r="E141" s="13"/>
      <c r="F141" s="13"/>
      <c r="G141" s="13"/>
      <c r="H141" s="7"/>
      <c r="I141" s="19"/>
      <c r="J141" s="64"/>
      <c r="K141" s="7"/>
      <c r="L141" s="372">
        <f>SUM(O141:P141,R141,T141,V141)</f>
        <v>-4</v>
      </c>
      <c r="M141" s="373"/>
      <c r="N141" s="28" t="s">
        <v>344</v>
      </c>
      <c r="O141" s="47"/>
      <c r="P141" s="273"/>
      <c r="Q141" s="257" t="s">
        <v>345</v>
      </c>
      <c r="R141" s="257">
        <f>Charisma_Mod</f>
        <v>-4</v>
      </c>
      <c r="S141" s="257"/>
      <c r="T141" s="262"/>
      <c r="U141" s="257" t="s">
        <v>345</v>
      </c>
      <c r="V141" s="47"/>
      <c r="W141" s="7"/>
      <c r="X141" s="15" t="s">
        <v>91</v>
      </c>
      <c r="Y141" s="7"/>
      <c r="Z141" s="7"/>
      <c r="AA141" s="27"/>
      <c r="AB141" s="7"/>
      <c r="AC141" s="25"/>
      <c r="AD141" s="7"/>
      <c r="AE141" s="370">
        <f t="shared" si="4"/>
        <v>-4</v>
      </c>
      <c r="AF141" s="371"/>
      <c r="AG141" s="28" t="s">
        <v>344</v>
      </c>
      <c r="AH141" s="47"/>
      <c r="AI141" s="273"/>
      <c r="AJ141" s="268" t="s">
        <v>345</v>
      </c>
      <c r="AK141" s="257">
        <f t="shared" si="2"/>
        <v>-4</v>
      </c>
      <c r="AL141" s="257"/>
      <c r="AM141" s="262"/>
      <c r="AN141" s="268" t="s">
        <v>345</v>
      </c>
      <c r="AO141" s="47"/>
      <c r="AP141" s="8"/>
    </row>
    <row r="142" spans="2:42" ht="16.5" customHeight="1">
      <c r="B142" s="36" t="s">
        <v>27</v>
      </c>
      <c r="C142" s="13" t="s">
        <v>516</v>
      </c>
      <c r="D142" s="13"/>
      <c r="E142" s="13"/>
      <c r="F142" s="13"/>
      <c r="G142" s="13"/>
      <c r="H142" s="7"/>
      <c r="I142" s="19"/>
      <c r="J142" s="63" t="s">
        <v>521</v>
      </c>
      <c r="K142" s="7"/>
      <c r="L142" s="372">
        <f>SUM(O142:P142,R142,T142,V142)</f>
        <v>-4</v>
      </c>
      <c r="M142" s="373"/>
      <c r="N142" s="28" t="s">
        <v>344</v>
      </c>
      <c r="O142" s="47"/>
      <c r="P142" s="273"/>
      <c r="Q142" s="257" t="s">
        <v>345</v>
      </c>
      <c r="R142" s="257">
        <f>Weisheit_Mod</f>
        <v>-4</v>
      </c>
      <c r="S142" s="257" t="s">
        <v>345</v>
      </c>
      <c r="T142" s="262" t="s">
        <v>246</v>
      </c>
      <c r="U142" s="257" t="s">
        <v>345</v>
      </c>
      <c r="V142" s="47"/>
      <c r="W142" s="7"/>
      <c r="X142" s="7" t="s">
        <v>89</v>
      </c>
      <c r="Y142" s="7"/>
      <c r="Z142" s="7"/>
      <c r="AA142" s="7"/>
      <c r="AB142" s="7"/>
      <c r="AC142" s="25"/>
      <c r="AD142" s="7"/>
      <c r="AE142" s="370">
        <f t="shared" si="4"/>
        <v>-4</v>
      </c>
      <c r="AF142" s="371"/>
      <c r="AG142" s="28" t="s">
        <v>344</v>
      </c>
      <c r="AH142" s="47"/>
      <c r="AI142" s="273"/>
      <c r="AJ142" s="268" t="s">
        <v>345</v>
      </c>
      <c r="AK142" s="257">
        <f t="shared" si="2"/>
        <v>-4</v>
      </c>
      <c r="AL142" s="257"/>
      <c r="AM142" s="262"/>
      <c r="AN142" s="268" t="s">
        <v>345</v>
      </c>
      <c r="AO142" s="47"/>
      <c r="AP142" s="8"/>
    </row>
    <row r="143" spans="2:42" ht="16.5" customHeight="1">
      <c r="B143" s="36" t="s">
        <v>27</v>
      </c>
      <c r="C143" s="13" t="s">
        <v>527</v>
      </c>
      <c r="D143" s="13"/>
      <c r="E143" s="13"/>
      <c r="F143" s="13"/>
      <c r="G143" s="13"/>
      <c r="H143" s="7"/>
      <c r="I143" s="19"/>
      <c r="J143" s="63" t="s">
        <v>521</v>
      </c>
      <c r="K143" s="29" t="s">
        <v>522</v>
      </c>
      <c r="L143" s="11" t="s">
        <v>0</v>
      </c>
      <c r="M143" s="7"/>
      <c r="N143" s="7"/>
      <c r="O143" s="7"/>
      <c r="P143" s="7"/>
      <c r="Q143" s="263"/>
      <c r="R143" s="263"/>
      <c r="S143" s="263"/>
      <c r="T143" s="263"/>
      <c r="U143" s="263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8"/>
      <c r="AL143" s="8"/>
      <c r="AM143" s="8"/>
      <c r="AN143" s="7"/>
      <c r="AO143" s="7"/>
      <c r="AP143" s="8"/>
    </row>
    <row r="144" spans="2:42" ht="16.5" customHeight="1">
      <c r="B144" s="36" t="s">
        <v>27</v>
      </c>
      <c r="C144" s="13" t="s">
        <v>503</v>
      </c>
      <c r="D144" s="13"/>
      <c r="E144" s="13"/>
      <c r="F144" s="13"/>
      <c r="G144" s="13"/>
      <c r="H144" s="7"/>
      <c r="I144" s="19"/>
      <c r="J144" s="63" t="s">
        <v>521</v>
      </c>
      <c r="K144" s="7"/>
      <c r="L144" s="372">
        <f>SUM(O144:P144,R144,T144,V144)</f>
        <v>-4</v>
      </c>
      <c r="M144" s="373"/>
      <c r="N144" s="28" t="s">
        <v>344</v>
      </c>
      <c r="O144" s="47"/>
      <c r="P144" s="273"/>
      <c r="Q144" s="257" t="s">
        <v>345</v>
      </c>
      <c r="R144" s="257">
        <f>Charisma_Mod</f>
        <v>-4</v>
      </c>
      <c r="S144" s="257" t="s">
        <v>345</v>
      </c>
      <c r="T144" s="264">
        <f>IF(OR(O114&gt;4,P114&gt;4),2,0)</f>
        <v>0</v>
      </c>
      <c r="U144" s="257" t="s">
        <v>345</v>
      </c>
      <c r="V144" s="4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8"/>
    </row>
    <row r="145" spans="2:42" ht="16.5" customHeight="1">
      <c r="B145" s="36" t="s">
        <v>27</v>
      </c>
      <c r="C145" s="13" t="s">
        <v>505</v>
      </c>
      <c r="D145" s="13"/>
      <c r="E145" s="13"/>
      <c r="F145" s="13"/>
      <c r="G145" s="13"/>
      <c r="H145" s="7"/>
      <c r="I145" s="19"/>
      <c r="J145" s="63" t="s">
        <v>521</v>
      </c>
      <c r="K145" s="7"/>
      <c r="L145" s="372">
        <f>SUM(O145:P145,R145,T145,V145)</f>
        <v>-4</v>
      </c>
      <c r="M145" s="373"/>
      <c r="N145" s="28" t="s">
        <v>344</v>
      </c>
      <c r="O145" s="47"/>
      <c r="P145" s="273"/>
      <c r="Q145" s="257" t="s">
        <v>345</v>
      </c>
      <c r="R145" s="257">
        <f>Geschicklichkeit_Mod</f>
        <v>-4</v>
      </c>
      <c r="S145" s="257"/>
      <c r="T145" s="262">
        <f>Zwischenwerte!A488</f>
        <v>0</v>
      </c>
      <c r="U145" s="257" t="s">
        <v>345</v>
      </c>
      <c r="V145" s="4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8"/>
    </row>
    <row r="146" spans="2:42" ht="16.5" customHeight="1">
      <c r="B146" s="36"/>
      <c r="C146" s="13" t="s">
        <v>508</v>
      </c>
      <c r="D146" s="13"/>
      <c r="E146" s="13"/>
      <c r="F146" s="13"/>
      <c r="G146" s="13"/>
      <c r="H146" s="7"/>
      <c r="I146" s="19"/>
      <c r="J146" s="64"/>
      <c r="K146" s="7"/>
      <c r="L146" s="11" t="s">
        <v>0</v>
      </c>
      <c r="M146" s="11"/>
      <c r="N146" s="11"/>
      <c r="O146" s="11"/>
      <c r="P146" s="11"/>
      <c r="Q146" s="269"/>
      <c r="R146" s="269"/>
      <c r="S146" s="269"/>
      <c r="T146" s="269"/>
      <c r="U146" s="269"/>
      <c r="V146" s="11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8"/>
    </row>
    <row r="147" spans="2:42" ht="16.5" customHeight="1">
      <c r="B147" s="36" t="s">
        <v>27</v>
      </c>
      <c r="C147" s="13" t="s">
        <v>272</v>
      </c>
      <c r="D147" s="13"/>
      <c r="E147" s="13"/>
      <c r="F147" s="13"/>
      <c r="G147" s="13"/>
      <c r="H147" s="7"/>
      <c r="I147" s="19"/>
      <c r="J147" s="64"/>
      <c r="K147" s="7"/>
      <c r="L147" s="372">
        <f>SUM(O147:P147,R147,T147,V147)</f>
        <v>-4</v>
      </c>
      <c r="M147" s="373"/>
      <c r="N147" s="28" t="s">
        <v>344</v>
      </c>
      <c r="O147" s="47"/>
      <c r="P147" s="273"/>
      <c r="Q147" s="257" t="s">
        <v>345</v>
      </c>
      <c r="R147" s="257">
        <f>Intelligenz_Mod</f>
        <v>-4</v>
      </c>
      <c r="S147" s="257" t="s">
        <v>345</v>
      </c>
      <c r="T147" s="264">
        <f>IF(OR(AH134&gt;4,AI134&gt;4),2,0)</f>
        <v>0</v>
      </c>
      <c r="U147" s="257" t="s">
        <v>345</v>
      </c>
      <c r="V147" s="4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8"/>
    </row>
    <row r="148" spans="2:42" ht="16.5" customHeight="1">
      <c r="B148" s="36"/>
      <c r="C148" s="13"/>
      <c r="D148" s="13"/>
      <c r="E148" s="13"/>
      <c r="F148" s="13"/>
      <c r="G148" s="13"/>
      <c r="H148" s="7"/>
      <c r="I148" s="19"/>
      <c r="J148" s="7"/>
      <c r="K148" s="7"/>
      <c r="L148" s="62"/>
      <c r="M148" s="16"/>
      <c r="N148" s="28"/>
      <c r="O148" s="61"/>
      <c r="P148" s="61"/>
      <c r="Q148" s="30"/>
      <c r="R148" s="9"/>
      <c r="S148" s="30"/>
      <c r="T148" s="61"/>
      <c r="U148" s="30"/>
      <c r="V148" s="61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8"/>
    </row>
    <row r="149" spans="2:42" ht="16.5" customHeight="1">
      <c r="B149" s="7"/>
      <c r="C149" s="11" t="s">
        <v>253</v>
      </c>
      <c r="D149" s="11"/>
      <c r="E149" s="11"/>
      <c r="F149" s="11"/>
      <c r="G149" s="11"/>
      <c r="H149" s="11"/>
      <c r="I149" s="11"/>
      <c r="J149" s="11"/>
      <c r="K149" s="7"/>
      <c r="L149" s="377">
        <f>(((FP_1+Fertigkeitenbonus+Intelligenz_Mod)*4)+(Charakter!AB3-1)*(FP_1+Fertigkeitenbonus+Intelligenz_Mod)+Charakter!AB4*(Charakter!AG4+Fertigkeitenbonus+Intelligenz_Mod)+Charakter!AB5*(Charakter!AG5+Fertigkeitenbonus+Intelligenz_Mod)+Charakter!AB6*(Charakter!AG6+Fertigkeitenbonus+Intelligenz_Mod))-M150</f>
        <v>-16</v>
      </c>
      <c r="M149" s="378"/>
      <c r="N149" s="379"/>
      <c r="O149" s="7"/>
      <c r="P149" s="7"/>
      <c r="Q149" s="11" t="s">
        <v>255</v>
      </c>
      <c r="R149" s="7"/>
      <c r="S149" s="7"/>
      <c r="T149" s="7"/>
      <c r="U149" s="7"/>
      <c r="V149" s="7"/>
      <c r="W149" s="320">
        <v>0</v>
      </c>
      <c r="X149" s="321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8"/>
    </row>
    <row r="150" spans="2:42" ht="16.5" customHeight="1">
      <c r="B150" s="7"/>
      <c r="C150" s="11" t="s">
        <v>254</v>
      </c>
      <c r="D150" s="7"/>
      <c r="E150" s="7"/>
      <c r="F150" s="7"/>
      <c r="G150" s="7"/>
      <c r="H150" s="7"/>
      <c r="I150" s="7"/>
      <c r="J150" s="7"/>
      <c r="K150" s="7"/>
      <c r="L150" s="7"/>
      <c r="M150" s="48">
        <f>SUM(O110:O112,O114:O120,O122:O142,O144:O145,O147,AH132:AH142,AH121:AH123,AH116:AH118,AH111:AH113)+SUM(P110:P112,P114:P120,P122:P142,P144:P145,AI132:AI142,AI121:AI123,AI116:AI118,AI111:AI113)*2</f>
        <v>0</v>
      </c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8"/>
    </row>
    <row r="151" spans="2:42" ht="16.5" customHeight="1">
      <c r="B151" s="7"/>
      <c r="C151" s="11" t="s">
        <v>347</v>
      </c>
      <c r="D151" s="7"/>
      <c r="E151" s="7"/>
      <c r="F151" s="7"/>
      <c r="G151" s="7"/>
      <c r="H151" s="7"/>
      <c r="I151" s="7"/>
      <c r="J151" s="18">
        <f>$H$19+3</f>
        <v>4</v>
      </c>
      <c r="K151" s="23" t="s">
        <v>348</v>
      </c>
      <c r="L151" s="18">
        <f>J151/2</f>
        <v>2</v>
      </c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8"/>
    </row>
    <row r="152" spans="2:42" ht="16.5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8"/>
    </row>
    <row r="153" spans="2:42" ht="20.25">
      <c r="B153" s="400" t="s">
        <v>112</v>
      </c>
      <c r="C153" s="400"/>
      <c r="D153" s="400"/>
      <c r="E153" s="400"/>
      <c r="F153" s="400"/>
      <c r="G153" s="400"/>
      <c r="H153" s="400"/>
      <c r="I153" s="400"/>
      <c r="J153" s="400"/>
      <c r="K153" s="400"/>
      <c r="L153" s="400"/>
      <c r="M153" s="400"/>
      <c r="N153" s="400"/>
      <c r="O153" s="400"/>
      <c r="P153" s="400"/>
      <c r="Q153" s="400"/>
      <c r="R153" s="400"/>
      <c r="S153" s="400"/>
      <c r="T153" s="400"/>
      <c r="U153" s="400"/>
      <c r="V153" s="400"/>
      <c r="W153" s="400"/>
      <c r="X153" s="400"/>
      <c r="Y153" s="400"/>
      <c r="Z153" s="400"/>
      <c r="AA153" s="400"/>
      <c r="AB153" s="400"/>
      <c r="AC153" s="400"/>
      <c r="AD153" s="400"/>
      <c r="AE153" s="400"/>
      <c r="AF153" s="400"/>
      <c r="AG153" s="400"/>
      <c r="AH153" s="400"/>
      <c r="AI153" s="400"/>
      <c r="AJ153" s="400"/>
      <c r="AK153" s="400"/>
      <c r="AL153" s="400"/>
      <c r="AM153" s="400"/>
      <c r="AN153" s="400"/>
      <c r="AO153" s="400"/>
      <c r="AP153" s="8"/>
    </row>
    <row r="154" spans="2:42" ht="16.5" customHeight="1">
      <c r="B154" s="7"/>
      <c r="C154" s="7"/>
      <c r="D154" s="314" t="s">
        <v>349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8"/>
    </row>
    <row r="155" spans="2:42" ht="16.5" customHeight="1">
      <c r="B155" s="7"/>
      <c r="C155" s="11" t="s">
        <v>654</v>
      </c>
      <c r="D155" s="7"/>
      <c r="E155" s="7"/>
      <c r="F155" s="7"/>
      <c r="G155" s="35"/>
      <c r="H155" s="380"/>
      <c r="I155" s="380"/>
      <c r="J155" s="35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2:42" ht="16.5" customHeight="1">
      <c r="B156" s="7"/>
      <c r="C156" s="14"/>
      <c r="D156" s="8"/>
      <c r="E156" s="8"/>
      <c r="F156" s="8"/>
      <c r="G156" s="315"/>
      <c r="H156" s="386"/>
      <c r="I156" s="386"/>
      <c r="J156" s="315"/>
      <c r="K156" s="422"/>
      <c r="L156" s="422"/>
      <c r="M156" s="8"/>
      <c r="N156" s="8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2:42" ht="16.5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2:42" ht="16.5" customHeight="1">
      <c r="B158" s="7"/>
      <c r="C158" s="7"/>
      <c r="D158" s="314" t="s">
        <v>528</v>
      </c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8"/>
    </row>
    <row r="159" spans="2:42" ht="16.5" customHeight="1">
      <c r="B159" s="7"/>
      <c r="C159" s="7"/>
      <c r="D159" s="11" t="s">
        <v>529</v>
      </c>
      <c r="E159" s="7"/>
      <c r="F159" s="7"/>
      <c r="G159" s="30" t="s">
        <v>482</v>
      </c>
      <c r="H159" s="30"/>
      <c r="I159" s="30"/>
      <c r="J159" s="30" t="s">
        <v>114</v>
      </c>
      <c r="K159" s="30"/>
      <c r="L159" s="30" t="s">
        <v>114</v>
      </c>
      <c r="M159" s="30"/>
      <c r="N159" s="34"/>
      <c r="O159" s="34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8"/>
    </row>
    <row r="160" spans="2:42" ht="16.5" customHeight="1">
      <c r="B160" s="7"/>
      <c r="C160" s="7"/>
      <c r="D160" s="373">
        <f>SUM(G160,I161,K161,M161,O161,J160,L160)</f>
        <v>-4</v>
      </c>
      <c r="E160" s="373"/>
      <c r="F160" s="7" t="s">
        <v>344</v>
      </c>
      <c r="G160" s="50"/>
      <c r="H160" s="7"/>
      <c r="I160" s="7" t="s">
        <v>345</v>
      </c>
      <c r="J160" s="47"/>
      <c r="K160" s="7" t="s">
        <v>345</v>
      </c>
      <c r="L160" s="4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8"/>
    </row>
    <row r="161" spans="2:42" ht="16.5" customHeight="1">
      <c r="B161" s="7"/>
      <c r="C161" s="7"/>
      <c r="D161" s="7"/>
      <c r="E161" s="7"/>
      <c r="F161" s="7"/>
      <c r="G161" s="261"/>
      <c r="H161" s="263" t="s">
        <v>345</v>
      </c>
      <c r="I161" s="257">
        <f>IF(Zwischenwerte!$B$18=2,0,1)</f>
        <v>0</v>
      </c>
      <c r="J161" s="263" t="s">
        <v>345</v>
      </c>
      <c r="K161" s="257">
        <f>Geschicklichkeit_Mod</f>
        <v>-4</v>
      </c>
      <c r="L161" s="263" t="s">
        <v>345</v>
      </c>
      <c r="M161" s="262">
        <f>INDEX(Zwischenwerte!J184:J190,Zwischenwerte!I155,1)</f>
        <v>0</v>
      </c>
      <c r="N161" s="261" t="s">
        <v>345</v>
      </c>
      <c r="O161" s="262">
        <f>INDEX(Zwischenwerte!J155:J183,Zwischenwerte!I154,1)</f>
        <v>0</v>
      </c>
      <c r="P161" s="261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8"/>
    </row>
    <row r="162" spans="2:42" ht="16.5" customHeight="1">
      <c r="B162" s="7"/>
      <c r="C162" s="7"/>
      <c r="D162" s="314" t="s">
        <v>536</v>
      </c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8"/>
    </row>
    <row r="163" spans="2:42" ht="16.5" customHeight="1">
      <c r="B163" s="7"/>
      <c r="C163" s="7"/>
      <c r="D163" s="11" t="s">
        <v>529</v>
      </c>
      <c r="E163" s="7"/>
      <c r="F163" s="7"/>
      <c r="G163" s="30"/>
      <c r="H163" s="30"/>
      <c r="I163" s="30" t="s">
        <v>114</v>
      </c>
      <c r="J163" s="30"/>
      <c r="K163" s="30" t="s">
        <v>114</v>
      </c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8"/>
    </row>
    <row r="164" spans="2:42" ht="16.5" customHeight="1">
      <c r="B164" s="7"/>
      <c r="C164" s="7"/>
      <c r="D164" s="373">
        <f>SUM(G164,I164,K164)</f>
        <v>-4</v>
      </c>
      <c r="E164" s="373"/>
      <c r="F164" s="30" t="s">
        <v>344</v>
      </c>
      <c r="G164" s="18">
        <f>Geschicklichkeit_Mod</f>
        <v>-4</v>
      </c>
      <c r="H164" s="30" t="s">
        <v>345</v>
      </c>
      <c r="I164" s="47"/>
      <c r="J164" s="30" t="s">
        <v>345</v>
      </c>
      <c r="K164" s="4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8"/>
    </row>
    <row r="165" spans="2:42" ht="16.5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8"/>
    </row>
    <row r="166" spans="2:42" ht="16.5" customHeight="1">
      <c r="B166" s="7"/>
      <c r="C166" s="7"/>
      <c r="D166" s="314" t="s">
        <v>530</v>
      </c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8"/>
    </row>
    <row r="167" spans="1:42" s="5" customFormat="1" ht="16.5" customHeight="1">
      <c r="A167" s="26"/>
      <c r="B167" s="26"/>
      <c r="C167" s="26"/>
      <c r="D167" s="26"/>
      <c r="E167" s="26"/>
      <c r="F167" s="26"/>
      <c r="G167" s="7" t="s">
        <v>114</v>
      </c>
      <c r="H167" s="34"/>
      <c r="I167" s="26"/>
      <c r="J167" s="34"/>
      <c r="K167" s="26"/>
      <c r="L167" s="26"/>
      <c r="M167" s="7" t="s">
        <v>628</v>
      </c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26"/>
      <c r="AI167" s="26"/>
      <c r="AJ167" s="26"/>
      <c r="AK167" s="26"/>
      <c r="AL167" s="26"/>
      <c r="AM167" s="26"/>
      <c r="AN167" s="26"/>
      <c r="AO167" s="26"/>
      <c r="AP167" s="212"/>
    </row>
    <row r="168" spans="2:42" ht="16.5" customHeight="1">
      <c r="B168" s="7"/>
      <c r="C168" s="11" t="s">
        <v>531</v>
      </c>
      <c r="D168" s="7"/>
      <c r="E168" s="7"/>
      <c r="F168" s="7"/>
      <c r="G168" s="47"/>
      <c r="H168" s="30" t="s">
        <v>345</v>
      </c>
      <c r="I168" s="47"/>
      <c r="J168" s="30" t="s">
        <v>345</v>
      </c>
      <c r="K168" s="47"/>
      <c r="L168" s="30" t="s">
        <v>345</v>
      </c>
      <c r="M168" s="404"/>
      <c r="N168" s="404"/>
      <c r="O168" s="261">
        <f>SUM(AA168,AC168,G168,I168,K168,M168)</f>
        <v>-4</v>
      </c>
      <c r="P168" s="261"/>
      <c r="Q168" s="261"/>
      <c r="R168" s="261" t="str">
        <f>IF(Grundbonus-5&gt;0,O168-5,"Keine")</f>
        <v>Keine</v>
      </c>
      <c r="S168" s="261"/>
      <c r="T168" s="261"/>
      <c r="U168" s="261" t="str">
        <f>IF(Grundbonus-10&gt;0,O168-10,"Keine")</f>
        <v>Keine</v>
      </c>
      <c r="V168" s="261"/>
      <c r="W168" s="261"/>
      <c r="X168" s="261" t="str">
        <f>IF(Grundbonus-15&gt;0,O168-15,"Keine")</f>
        <v>Keine</v>
      </c>
      <c r="Y168" s="261"/>
      <c r="Z168" s="261" t="s">
        <v>344</v>
      </c>
      <c r="AA168" s="261">
        <f>Geschicklichkeit_Mod</f>
        <v>-4</v>
      </c>
      <c r="AB168" s="261" t="s">
        <v>345</v>
      </c>
      <c r="AC168" s="261">
        <f>IF(Zwischenwerte!$B$18=2,0,1)</f>
        <v>0</v>
      </c>
      <c r="AD168" s="261" t="s">
        <v>345</v>
      </c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8"/>
    </row>
    <row r="169" spans="2:42" ht="16.5" customHeight="1">
      <c r="B169" s="7"/>
      <c r="C169" s="11" t="s">
        <v>532</v>
      </c>
      <c r="D169" s="7"/>
      <c r="E169" s="7"/>
      <c r="F169" s="7"/>
      <c r="G169" s="47"/>
      <c r="H169" s="30" t="s">
        <v>345</v>
      </c>
      <c r="I169" s="47"/>
      <c r="J169" s="30" t="s">
        <v>345</v>
      </c>
      <c r="K169" s="47"/>
      <c r="L169" s="30" t="s">
        <v>345</v>
      </c>
      <c r="M169" s="403">
        <f>Grundbonus</f>
        <v>0</v>
      </c>
      <c r="N169" s="403"/>
      <c r="O169" s="405">
        <f>SUM(AA169,AC169,G169,I169,K169,M169)</f>
        <v>-4</v>
      </c>
      <c r="P169" s="402"/>
      <c r="Q169" s="260"/>
      <c r="R169" s="402" t="str">
        <f>IF(Grundbonus-5&gt;0,O169-5,"Keine")</f>
        <v>Keine</v>
      </c>
      <c r="S169" s="402"/>
      <c r="T169" s="260"/>
      <c r="U169" s="402" t="str">
        <f>IF(Grundbonus-10&gt;0,O169-10,"Keine")</f>
        <v>Keine</v>
      </c>
      <c r="V169" s="402"/>
      <c r="W169" s="260"/>
      <c r="X169" s="402" t="str">
        <f>IF(Grundbonus-15&gt;0,O169-15,"Keine")</f>
        <v>Keine</v>
      </c>
      <c r="Y169" s="402"/>
      <c r="Z169" s="260" t="s">
        <v>344</v>
      </c>
      <c r="AA169" s="260">
        <f>Stärke_Mod</f>
        <v>-4</v>
      </c>
      <c r="AB169" s="260" t="s">
        <v>345</v>
      </c>
      <c r="AC169" s="260">
        <f>IF(Zwischenwerte!$B$18=2,0,1)</f>
        <v>0</v>
      </c>
      <c r="AD169" s="259" t="s">
        <v>345</v>
      </c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8"/>
    </row>
    <row r="170" spans="2:42" ht="16.5" customHeight="1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8"/>
    </row>
    <row r="171" spans="2:42" ht="16.5" customHeight="1">
      <c r="B171" s="7"/>
      <c r="C171" s="7"/>
      <c r="D171" s="314" t="s">
        <v>533</v>
      </c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8"/>
    </row>
    <row r="172" spans="1:42" s="5" customFormat="1" ht="16.5" customHeight="1">
      <c r="A172" s="26"/>
      <c r="B172" s="68"/>
      <c r="C172" s="41" t="s">
        <v>95</v>
      </c>
      <c r="D172" s="41"/>
      <c r="E172" s="41"/>
      <c r="F172" s="41"/>
      <c r="G172" s="41"/>
      <c r="H172" s="41"/>
      <c r="I172" s="41"/>
      <c r="J172" s="30" t="s">
        <v>116</v>
      </c>
      <c r="K172" s="30"/>
      <c r="L172" s="30"/>
      <c r="M172" s="30"/>
      <c r="N172" s="30"/>
      <c r="O172" s="30"/>
      <c r="P172" s="365" t="s">
        <v>442</v>
      </c>
      <c r="Q172" s="365"/>
      <c r="R172" s="365"/>
      <c r="S172" s="365"/>
      <c r="T172" s="365"/>
      <c r="U172" s="7"/>
      <c r="V172" s="390" t="s">
        <v>123</v>
      </c>
      <c r="W172" s="390"/>
      <c r="X172" s="390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26"/>
      <c r="AM172" s="26"/>
      <c r="AN172" s="26"/>
      <c r="AO172" s="26"/>
      <c r="AP172" s="212"/>
    </row>
    <row r="173" spans="2:42" ht="16.5" customHeight="1">
      <c r="B173" s="40"/>
      <c r="C173" s="406"/>
      <c r="D173" s="406"/>
      <c r="E173" s="406"/>
      <c r="F173" s="406"/>
      <c r="G173" s="406"/>
      <c r="H173" s="406"/>
      <c r="I173" s="40"/>
      <c r="J173" s="47"/>
      <c r="K173" s="7"/>
      <c r="L173" s="266" t="str">
        <f>IF($R$168="Keine","-",J173-5)</f>
        <v>-</v>
      </c>
      <c r="M173" s="267"/>
      <c r="N173" s="266" t="str">
        <f>IF($U$168="Keine","-",J173-10)</f>
        <v>-</v>
      </c>
      <c r="O173" s="267"/>
      <c r="P173" s="266" t="str">
        <f>IF($X$168="Keine","-",J173-15)</f>
        <v>-</v>
      </c>
      <c r="Q173" s="7"/>
      <c r="R173" s="407"/>
      <c r="S173" s="407"/>
      <c r="T173" s="7"/>
      <c r="U173" s="7"/>
      <c r="V173" s="324">
        <f>INDEX(Zwischenwerte!$D$2:$J$83,Zwischenwerte!$K$2,6)</f>
        <v>0</v>
      </c>
      <c r="W173" s="324"/>
      <c r="X173" s="263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8"/>
    </row>
    <row r="174" spans="2:42" ht="16.5" customHeight="1">
      <c r="B174" s="40"/>
      <c r="C174" s="323"/>
      <c r="D174" s="323"/>
      <c r="E174" s="323"/>
      <c r="F174" s="323"/>
      <c r="G174" s="323"/>
      <c r="H174" s="323"/>
      <c r="I174" s="40"/>
      <c r="J174" s="47"/>
      <c r="K174" s="7"/>
      <c r="L174" s="266" t="str">
        <f>IF($R$168="Keine","-",J174-5)</f>
        <v>-</v>
      </c>
      <c r="M174" s="267"/>
      <c r="N174" s="266" t="str">
        <f>IF($U$168="Keine","-",J174-10)</f>
        <v>-</v>
      </c>
      <c r="O174" s="267"/>
      <c r="P174" s="266" t="str">
        <f>IF($X$168="Keine","-",J174-15)</f>
        <v>-</v>
      </c>
      <c r="Q174" s="7"/>
      <c r="R174" s="407"/>
      <c r="S174" s="407"/>
      <c r="T174" s="7"/>
      <c r="U174" s="7"/>
      <c r="V174" s="324">
        <f>INDEX(Zwischenwerte!$D$2:$J$83,Zwischenwerte!$K$3,6)</f>
        <v>0</v>
      </c>
      <c r="W174" s="324"/>
      <c r="X174" s="263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8"/>
    </row>
    <row r="175" spans="2:42" ht="16.5" customHeight="1">
      <c r="B175" s="40"/>
      <c r="C175" s="323"/>
      <c r="D175" s="323"/>
      <c r="E175" s="323"/>
      <c r="F175" s="323"/>
      <c r="G175" s="323"/>
      <c r="H175" s="323"/>
      <c r="I175" s="40"/>
      <c r="J175" s="47"/>
      <c r="K175" s="7"/>
      <c r="L175" s="266" t="str">
        <f>IF($R$168="Keine","-",J175-5)</f>
        <v>-</v>
      </c>
      <c r="M175" s="267"/>
      <c r="N175" s="266" t="str">
        <f>IF($U$168="Keine","-",J175-10)</f>
        <v>-</v>
      </c>
      <c r="O175" s="267"/>
      <c r="P175" s="266" t="str">
        <f>IF($X$168="Keine","-",J175-15)</f>
        <v>-</v>
      </c>
      <c r="Q175" s="7"/>
      <c r="R175" s="407"/>
      <c r="S175" s="407"/>
      <c r="T175" s="7"/>
      <c r="U175" s="7"/>
      <c r="V175" s="324">
        <f>INDEX(Zwischenwerte!$D$2:$J$83,Zwischenwerte!$K$4,6)</f>
        <v>0</v>
      </c>
      <c r="W175" s="324"/>
      <c r="X175" s="263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8"/>
    </row>
    <row r="176" spans="2:42" ht="16.5" customHeight="1">
      <c r="B176" s="40"/>
      <c r="C176" s="323"/>
      <c r="D176" s="323"/>
      <c r="E176" s="323"/>
      <c r="F176" s="323"/>
      <c r="G176" s="323"/>
      <c r="H176" s="323"/>
      <c r="I176" s="40"/>
      <c r="J176" s="47"/>
      <c r="K176" s="7"/>
      <c r="L176" s="266" t="str">
        <f>IF($R$168="Keine","-",J176-5)</f>
        <v>-</v>
      </c>
      <c r="M176" s="267"/>
      <c r="N176" s="266" t="str">
        <f>IF($U$168="Keine","-",J176-10)</f>
        <v>-</v>
      </c>
      <c r="O176" s="267"/>
      <c r="P176" s="266" t="str">
        <f>IF($X$168="Keine","-",J176-15)</f>
        <v>-</v>
      </c>
      <c r="Q176" s="7"/>
      <c r="R176" s="407"/>
      <c r="S176" s="407"/>
      <c r="T176" s="7"/>
      <c r="U176" s="7"/>
      <c r="V176" s="324">
        <f>INDEX(Zwischenwerte!$D$2:$J$83,Zwischenwerte!$K$5,6)</f>
        <v>0</v>
      </c>
      <c r="W176" s="324"/>
      <c r="X176" s="263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8"/>
    </row>
    <row r="177" spans="2:42" ht="16.5" customHeight="1">
      <c r="B177" s="40"/>
      <c r="C177" s="323"/>
      <c r="D177" s="323"/>
      <c r="E177" s="323"/>
      <c r="F177" s="323"/>
      <c r="G177" s="323"/>
      <c r="H177" s="323"/>
      <c r="I177" s="40"/>
      <c r="J177" s="47"/>
      <c r="K177" s="7"/>
      <c r="L177" s="266" t="str">
        <f>IF($R$168="Keine","-",J177-5)</f>
        <v>-</v>
      </c>
      <c r="M177" s="267"/>
      <c r="N177" s="266" t="str">
        <f>IF($U$168="Keine","-",J177-10)</f>
        <v>-</v>
      </c>
      <c r="O177" s="267"/>
      <c r="P177" s="266" t="str">
        <f>IF($X$168="Keine","-",J177-15)</f>
        <v>-</v>
      </c>
      <c r="Q177" s="7"/>
      <c r="R177" s="407"/>
      <c r="S177" s="407"/>
      <c r="T177" s="7"/>
      <c r="U177" s="7"/>
      <c r="V177" s="324">
        <f>INDEX(Zwischenwerte!$D$2:$J$83,Zwischenwerte!$K$6,6)</f>
        <v>0</v>
      </c>
      <c r="W177" s="324"/>
      <c r="X177" s="263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8"/>
    </row>
    <row r="178" spans="2:42" ht="16.5" customHeight="1">
      <c r="B178" s="40"/>
      <c r="C178" s="40"/>
      <c r="D178" s="40"/>
      <c r="E178" s="40"/>
      <c r="F178" s="40"/>
      <c r="G178" s="40"/>
      <c r="H178" s="40"/>
      <c r="I178" s="40"/>
      <c r="J178" s="7"/>
      <c r="K178" s="7"/>
      <c r="L178" s="7"/>
      <c r="M178" s="7"/>
      <c r="N178" s="7"/>
      <c r="O178" s="7"/>
      <c r="P178" s="7"/>
      <c r="Q178" s="7"/>
      <c r="R178" s="40"/>
      <c r="S178" s="40"/>
      <c r="T178" s="40"/>
      <c r="U178" s="7"/>
      <c r="V178" s="261"/>
      <c r="W178" s="261"/>
      <c r="X178" s="261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8"/>
    </row>
    <row r="179" spans="2:42" ht="16.5" customHeight="1">
      <c r="B179" s="40"/>
      <c r="C179" s="40"/>
      <c r="D179" s="314" t="s">
        <v>74</v>
      </c>
      <c r="E179" s="40"/>
      <c r="F179" s="40"/>
      <c r="G179" s="40"/>
      <c r="H179" s="40"/>
      <c r="I179" s="40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8"/>
    </row>
    <row r="180" spans="2:42" ht="16.5" customHeight="1">
      <c r="B180" s="40"/>
      <c r="C180" s="323"/>
      <c r="D180" s="323"/>
      <c r="E180" s="323"/>
      <c r="F180" s="323"/>
      <c r="G180" s="323"/>
      <c r="H180" s="323"/>
      <c r="I180" s="69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7"/>
      <c r="AD180" s="33"/>
      <c r="AE180" s="33"/>
      <c r="AF180" s="33"/>
      <c r="AG180" s="33"/>
      <c r="AH180" s="33"/>
      <c r="AI180" s="7"/>
      <c r="AJ180" s="33"/>
      <c r="AK180" s="33"/>
      <c r="AL180" s="7"/>
      <c r="AM180" s="7"/>
      <c r="AN180" s="33"/>
      <c r="AO180" s="7"/>
      <c r="AP180" s="8"/>
    </row>
    <row r="181" spans="2:42" ht="16.5" customHeight="1">
      <c r="B181" s="40"/>
      <c r="C181" s="323"/>
      <c r="D181" s="323"/>
      <c r="E181" s="323"/>
      <c r="F181" s="323"/>
      <c r="G181" s="323"/>
      <c r="H181" s="323"/>
      <c r="I181" s="69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7"/>
      <c r="AD181" s="33"/>
      <c r="AE181" s="33"/>
      <c r="AF181" s="33"/>
      <c r="AG181" s="33"/>
      <c r="AH181" s="33"/>
      <c r="AI181" s="7"/>
      <c r="AJ181" s="33"/>
      <c r="AK181" s="33"/>
      <c r="AL181" s="7"/>
      <c r="AM181" s="7"/>
      <c r="AN181" s="33"/>
      <c r="AO181" s="7"/>
      <c r="AP181" s="8"/>
    </row>
    <row r="182" spans="2:42" ht="16.5" customHeight="1">
      <c r="B182" s="40"/>
      <c r="C182" s="323"/>
      <c r="D182" s="323"/>
      <c r="E182" s="323"/>
      <c r="F182" s="323"/>
      <c r="G182" s="323"/>
      <c r="H182" s="323"/>
      <c r="I182" s="69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7"/>
      <c r="AD182" s="33"/>
      <c r="AE182" s="33"/>
      <c r="AF182" s="33"/>
      <c r="AG182" s="33"/>
      <c r="AH182" s="33"/>
      <c r="AI182" s="7"/>
      <c r="AJ182" s="33"/>
      <c r="AK182" s="33"/>
      <c r="AL182" s="7"/>
      <c r="AM182" s="7"/>
      <c r="AN182" s="33"/>
      <c r="AO182" s="7"/>
      <c r="AP182" s="8"/>
    </row>
    <row r="183" spans="2:42" ht="16.5" customHeight="1">
      <c r="B183" s="40"/>
      <c r="C183" s="40"/>
      <c r="D183" s="40"/>
      <c r="E183" s="40"/>
      <c r="F183" s="40"/>
      <c r="G183" s="40"/>
      <c r="H183" s="40"/>
      <c r="I183" s="40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8"/>
    </row>
    <row r="184" spans="2:42" ht="16.5" customHeight="1">
      <c r="B184" s="314" t="s">
        <v>537</v>
      </c>
      <c r="C184" s="26"/>
      <c r="D184" s="26"/>
      <c r="E184" s="26"/>
      <c r="F184" s="26"/>
      <c r="G184" s="26"/>
      <c r="H184" s="26"/>
      <c r="I184" s="7"/>
      <c r="J184" s="408"/>
      <c r="K184" s="408"/>
      <c r="L184" s="408"/>
      <c r="M184" s="7" t="s">
        <v>539</v>
      </c>
      <c r="N184" s="7"/>
      <c r="O184" s="19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408"/>
      <c r="AA184" s="408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8"/>
    </row>
    <row r="185" spans="2:42" ht="16.5" customHeight="1">
      <c r="B185" s="7"/>
      <c r="C185" s="323"/>
      <c r="D185" s="323"/>
      <c r="E185" s="323"/>
      <c r="F185" s="323"/>
      <c r="G185" s="323"/>
      <c r="H185" s="323"/>
      <c r="I185" s="8"/>
      <c r="J185" s="409">
        <f>INDEX(Zwischenwerte!$A$155:$H$183,Zwischenwerte!$I$154,8)</f>
        <v>0</v>
      </c>
      <c r="K185" s="409"/>
      <c r="L185" s="19"/>
      <c r="M185" s="335"/>
      <c r="N185" s="335"/>
      <c r="O185" s="335"/>
      <c r="P185" s="335"/>
      <c r="Q185" s="335"/>
      <c r="R185" s="335"/>
      <c r="S185" s="335"/>
      <c r="T185" s="335"/>
      <c r="U185" s="335"/>
      <c r="V185" s="335"/>
      <c r="W185" s="335"/>
      <c r="X185" s="335"/>
      <c r="Y185" s="19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8"/>
    </row>
    <row r="186" spans="2:42" ht="16.5" customHeight="1">
      <c r="B186" s="7"/>
      <c r="C186" s="323"/>
      <c r="D186" s="323"/>
      <c r="E186" s="323"/>
      <c r="F186" s="323"/>
      <c r="G186" s="323"/>
      <c r="H186" s="323"/>
      <c r="I186" s="8"/>
      <c r="J186" s="409">
        <f>INDEX(Zwischenwerte!$A$155:$H$183,Zwischenwerte!I156,8)</f>
        <v>0</v>
      </c>
      <c r="K186" s="409"/>
      <c r="L186" s="19"/>
      <c r="M186" s="335"/>
      <c r="N186" s="335"/>
      <c r="O186" s="335"/>
      <c r="P186" s="335"/>
      <c r="Q186" s="335"/>
      <c r="R186" s="335"/>
      <c r="S186" s="335"/>
      <c r="T186" s="335"/>
      <c r="U186" s="335"/>
      <c r="V186" s="335"/>
      <c r="W186" s="335"/>
      <c r="X186" s="335"/>
      <c r="Y186" s="19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8"/>
    </row>
    <row r="187" spans="2:42" ht="16.5" customHeight="1">
      <c r="B187" s="7"/>
      <c r="C187" s="323"/>
      <c r="D187" s="323"/>
      <c r="E187" s="323"/>
      <c r="F187" s="323"/>
      <c r="G187" s="323"/>
      <c r="H187" s="323"/>
      <c r="I187" s="8"/>
      <c r="J187" s="409">
        <f>INDEX(Zwischenwerte!$A$155:$H$183,Zwischenwerte!$I$155,8)</f>
        <v>0</v>
      </c>
      <c r="K187" s="409"/>
      <c r="L187" s="19"/>
      <c r="M187" s="335"/>
      <c r="N187" s="335"/>
      <c r="O187" s="335"/>
      <c r="P187" s="335"/>
      <c r="Q187" s="335"/>
      <c r="R187" s="335"/>
      <c r="S187" s="335"/>
      <c r="T187" s="335"/>
      <c r="U187" s="335"/>
      <c r="V187" s="335"/>
      <c r="W187" s="335"/>
      <c r="X187" s="335"/>
      <c r="Y187" s="19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8"/>
    </row>
    <row r="188" spans="2:42" ht="16.5" customHeight="1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8"/>
    </row>
    <row r="189" spans="2:42" ht="16.5" customHeight="1">
      <c r="B189" s="7"/>
      <c r="C189" s="7"/>
      <c r="D189" s="314" t="s">
        <v>495</v>
      </c>
      <c r="E189" s="10"/>
      <c r="F189" s="7"/>
      <c r="G189" s="7"/>
      <c r="H189" s="7"/>
      <c r="I189" s="7"/>
      <c r="J189" s="7"/>
      <c r="K189" s="7"/>
      <c r="L189" s="7"/>
      <c r="M189" s="7"/>
      <c r="N189" s="7"/>
      <c r="O189" s="40"/>
      <c r="P189" s="40"/>
      <c r="Q189" s="67"/>
      <c r="R189" s="60"/>
      <c r="S189" s="40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8"/>
    </row>
    <row r="190" spans="2:42" ht="16.5" customHeight="1">
      <c r="B190" s="7"/>
      <c r="C190" s="325" t="s">
        <v>100</v>
      </c>
      <c r="D190" s="325"/>
      <c r="E190" s="7"/>
      <c r="F190" s="325" t="s">
        <v>76</v>
      </c>
      <c r="G190" s="325"/>
      <c r="H190" s="20"/>
      <c r="I190" s="325" t="s">
        <v>77</v>
      </c>
      <c r="J190" s="325"/>
      <c r="K190" s="7"/>
      <c r="L190" s="21" t="s">
        <v>101</v>
      </c>
      <c r="M190" s="16"/>
      <c r="N190" s="10"/>
      <c r="O190" s="40"/>
      <c r="P190" s="67"/>
      <c r="Q190" s="40"/>
      <c r="R190" s="40"/>
      <c r="S190" s="40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8"/>
    </row>
    <row r="191" spans="2:42" ht="16.5" customHeight="1">
      <c r="B191" s="7"/>
      <c r="C191" s="330"/>
      <c r="D191" s="330"/>
      <c r="E191" s="7"/>
      <c r="F191" s="330"/>
      <c r="G191" s="330"/>
      <c r="H191" s="7"/>
      <c r="I191" s="330"/>
      <c r="J191" s="330"/>
      <c r="K191" s="7"/>
      <c r="L191" s="330"/>
      <c r="M191" s="330"/>
      <c r="N191" s="7"/>
      <c r="O191" s="40"/>
      <c r="P191" s="40"/>
      <c r="Q191" s="40"/>
      <c r="R191" s="40"/>
      <c r="S191" s="40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8"/>
    </row>
    <row r="192" spans="2:42" ht="16.5" customHeight="1">
      <c r="B192" s="7"/>
      <c r="C192" s="11" t="s">
        <v>496</v>
      </c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8"/>
    </row>
    <row r="193" spans="2:42" ht="16.5" customHeight="1">
      <c r="B193" s="7"/>
      <c r="C193" s="335"/>
      <c r="D193" s="335"/>
      <c r="E193" s="335"/>
      <c r="F193" s="335"/>
      <c r="G193" s="335"/>
      <c r="H193" s="335"/>
      <c r="I193" s="335"/>
      <c r="J193" s="335"/>
      <c r="K193" s="335"/>
      <c r="L193" s="335"/>
      <c r="M193" s="335"/>
      <c r="N193" s="335"/>
      <c r="O193" s="335"/>
      <c r="P193" s="335"/>
      <c r="Q193" s="335"/>
      <c r="R193" s="335"/>
      <c r="S193" s="335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8"/>
    </row>
    <row r="194" spans="2:42" ht="16.5" customHeight="1">
      <c r="B194" s="7"/>
      <c r="C194" s="335"/>
      <c r="D194" s="335"/>
      <c r="E194" s="335"/>
      <c r="F194" s="335"/>
      <c r="G194" s="335"/>
      <c r="H194" s="335"/>
      <c r="I194" s="335"/>
      <c r="J194" s="335"/>
      <c r="K194" s="335"/>
      <c r="L194" s="335"/>
      <c r="M194" s="335"/>
      <c r="N194" s="335"/>
      <c r="O194" s="335"/>
      <c r="P194" s="335"/>
      <c r="Q194" s="335"/>
      <c r="R194" s="335"/>
      <c r="S194" s="335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8"/>
    </row>
    <row r="195" spans="2:42" ht="16.5" customHeight="1">
      <c r="B195" s="7"/>
      <c r="C195" s="335"/>
      <c r="D195" s="335"/>
      <c r="E195" s="335"/>
      <c r="F195" s="335"/>
      <c r="G195" s="335"/>
      <c r="H195" s="335"/>
      <c r="I195" s="335"/>
      <c r="J195" s="335"/>
      <c r="K195" s="335"/>
      <c r="L195" s="335"/>
      <c r="M195" s="335"/>
      <c r="N195" s="335"/>
      <c r="O195" s="335"/>
      <c r="P195" s="335"/>
      <c r="Q195" s="335"/>
      <c r="R195" s="335"/>
      <c r="S195" s="335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8"/>
    </row>
    <row r="196" spans="2:42" ht="16.5" customHeight="1">
      <c r="B196" s="7"/>
      <c r="C196" s="335"/>
      <c r="D196" s="335"/>
      <c r="E196" s="335"/>
      <c r="F196" s="335"/>
      <c r="G196" s="335"/>
      <c r="H196" s="335"/>
      <c r="I196" s="335"/>
      <c r="J196" s="335"/>
      <c r="K196" s="335"/>
      <c r="L196" s="335"/>
      <c r="M196" s="335"/>
      <c r="N196" s="335"/>
      <c r="O196" s="335"/>
      <c r="P196" s="335"/>
      <c r="Q196" s="335"/>
      <c r="R196" s="335"/>
      <c r="S196" s="335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8"/>
    </row>
    <row r="197" spans="2:42" ht="16.5" customHeight="1">
      <c r="B197" s="7"/>
      <c r="C197" s="335"/>
      <c r="D197" s="335"/>
      <c r="E197" s="335"/>
      <c r="F197" s="335"/>
      <c r="G197" s="335"/>
      <c r="H197" s="335"/>
      <c r="I197" s="335"/>
      <c r="J197" s="335"/>
      <c r="K197" s="335"/>
      <c r="L197" s="335"/>
      <c r="M197" s="335"/>
      <c r="N197" s="335"/>
      <c r="O197" s="335"/>
      <c r="P197" s="335"/>
      <c r="Q197" s="335"/>
      <c r="R197" s="335"/>
      <c r="S197" s="335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8"/>
    </row>
    <row r="198" spans="2:42" ht="16.5" customHeight="1">
      <c r="B198" s="7"/>
      <c r="C198" s="26"/>
      <c r="D198" s="26"/>
      <c r="E198" s="26"/>
      <c r="F198" s="26"/>
      <c r="G198" s="26" t="s">
        <v>550</v>
      </c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8"/>
    </row>
    <row r="199" spans="2:42" ht="16.5" customHeight="1">
      <c r="B199" s="7"/>
      <c r="C199" s="11" t="s">
        <v>543</v>
      </c>
      <c r="D199" s="7"/>
      <c r="E199" s="7"/>
      <c r="F199" s="7"/>
      <c r="G199" s="335"/>
      <c r="H199" s="335"/>
      <c r="I199" s="335"/>
      <c r="J199" s="335"/>
      <c r="K199" s="335"/>
      <c r="L199" s="335"/>
      <c r="M199" s="335"/>
      <c r="N199" s="335"/>
      <c r="O199" s="335"/>
      <c r="P199" s="335"/>
      <c r="Q199" s="335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8"/>
    </row>
    <row r="200" spans="2:42" ht="16.5" customHeight="1">
      <c r="B200" s="7"/>
      <c r="C200" s="11" t="s">
        <v>544</v>
      </c>
      <c r="D200" s="7"/>
      <c r="E200" s="7"/>
      <c r="F200" s="7"/>
      <c r="G200" s="335"/>
      <c r="H200" s="335"/>
      <c r="I200" s="335"/>
      <c r="J200" s="335"/>
      <c r="K200" s="335"/>
      <c r="L200" s="335"/>
      <c r="M200" s="335"/>
      <c r="N200" s="335"/>
      <c r="O200" s="335"/>
      <c r="P200" s="335"/>
      <c r="Q200" s="335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8"/>
    </row>
    <row r="201" spans="2:42" ht="16.5" customHeight="1">
      <c r="B201" s="7"/>
      <c r="C201" s="11" t="s">
        <v>545</v>
      </c>
      <c r="D201" s="7"/>
      <c r="E201" s="7"/>
      <c r="F201" s="7"/>
      <c r="G201" s="335"/>
      <c r="H201" s="335"/>
      <c r="I201" s="335"/>
      <c r="J201" s="335"/>
      <c r="K201" s="335"/>
      <c r="L201" s="335"/>
      <c r="M201" s="335"/>
      <c r="N201" s="335"/>
      <c r="O201" s="335"/>
      <c r="P201" s="335"/>
      <c r="Q201" s="335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8"/>
    </row>
    <row r="202" spans="2:42" ht="16.5" customHeight="1">
      <c r="B202" s="7"/>
      <c r="C202" s="11" t="s">
        <v>546</v>
      </c>
      <c r="D202" s="7"/>
      <c r="E202" s="7"/>
      <c r="F202" s="7"/>
      <c r="G202" s="335"/>
      <c r="H202" s="335"/>
      <c r="I202" s="335"/>
      <c r="J202" s="335"/>
      <c r="K202" s="335"/>
      <c r="L202" s="335"/>
      <c r="M202" s="335"/>
      <c r="N202" s="335"/>
      <c r="O202" s="335"/>
      <c r="P202" s="335"/>
      <c r="Q202" s="335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8"/>
    </row>
    <row r="203" spans="2:42" ht="16.5" customHeight="1">
      <c r="B203" s="7"/>
      <c r="C203" s="11" t="s">
        <v>96</v>
      </c>
      <c r="D203" s="7"/>
      <c r="E203" s="7"/>
      <c r="F203" s="7"/>
      <c r="G203" s="335"/>
      <c r="H203" s="335"/>
      <c r="I203" s="335"/>
      <c r="J203" s="335"/>
      <c r="K203" s="335"/>
      <c r="L203" s="335"/>
      <c r="M203" s="335"/>
      <c r="N203" s="335"/>
      <c r="O203" s="335"/>
      <c r="P203" s="335"/>
      <c r="Q203" s="335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8"/>
    </row>
    <row r="204" spans="2:42" ht="16.5" customHeight="1">
      <c r="B204" s="7"/>
      <c r="C204" s="11" t="s">
        <v>97</v>
      </c>
      <c r="D204" s="7"/>
      <c r="E204" s="7"/>
      <c r="F204" s="7"/>
      <c r="G204" s="335"/>
      <c r="H204" s="335"/>
      <c r="I204" s="335"/>
      <c r="J204" s="335"/>
      <c r="K204" s="335"/>
      <c r="L204" s="335"/>
      <c r="M204" s="335"/>
      <c r="N204" s="335"/>
      <c r="O204" s="335"/>
      <c r="P204" s="335"/>
      <c r="Q204" s="335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8"/>
    </row>
    <row r="205" spans="2:42" ht="16.5" customHeight="1">
      <c r="B205" s="7"/>
      <c r="C205" s="11" t="s">
        <v>547</v>
      </c>
      <c r="D205" s="7"/>
      <c r="E205" s="7"/>
      <c r="F205" s="7"/>
      <c r="G205" s="335"/>
      <c r="H205" s="335"/>
      <c r="I205" s="335"/>
      <c r="J205" s="335"/>
      <c r="K205" s="335"/>
      <c r="L205" s="335"/>
      <c r="M205" s="335"/>
      <c r="N205" s="335"/>
      <c r="O205" s="335"/>
      <c r="P205" s="335"/>
      <c r="Q205" s="335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8"/>
    </row>
    <row r="206" spans="2:42" ht="16.5" customHeight="1">
      <c r="B206" s="7"/>
      <c r="C206" s="11" t="s">
        <v>548</v>
      </c>
      <c r="D206" s="7"/>
      <c r="E206" s="7"/>
      <c r="F206" s="7"/>
      <c r="G206" s="335"/>
      <c r="H206" s="335"/>
      <c r="I206" s="335"/>
      <c r="J206" s="335"/>
      <c r="K206" s="335"/>
      <c r="L206" s="335"/>
      <c r="M206" s="335"/>
      <c r="N206" s="335"/>
      <c r="O206" s="335"/>
      <c r="P206" s="335"/>
      <c r="Q206" s="335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8"/>
    </row>
    <row r="207" spans="2:42" ht="16.5" customHeight="1">
      <c r="B207" s="7"/>
      <c r="C207" s="11" t="s">
        <v>625</v>
      </c>
      <c r="D207" s="7"/>
      <c r="E207" s="7"/>
      <c r="F207" s="7"/>
      <c r="G207" s="335"/>
      <c r="H207" s="335"/>
      <c r="I207" s="335"/>
      <c r="J207" s="335"/>
      <c r="K207" s="335"/>
      <c r="L207" s="335"/>
      <c r="M207" s="335"/>
      <c r="N207" s="335"/>
      <c r="O207" s="335"/>
      <c r="P207" s="335"/>
      <c r="Q207" s="335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8"/>
    </row>
    <row r="208" spans="2:42" ht="16.5" customHeight="1">
      <c r="B208" s="7"/>
      <c r="C208" s="11" t="s">
        <v>98</v>
      </c>
      <c r="D208" s="7"/>
      <c r="E208" s="7"/>
      <c r="F208" s="7"/>
      <c r="G208" s="335"/>
      <c r="H208" s="335"/>
      <c r="I208" s="335"/>
      <c r="J208" s="335"/>
      <c r="K208" s="335"/>
      <c r="L208" s="335"/>
      <c r="M208" s="335"/>
      <c r="N208" s="335"/>
      <c r="O208" s="335"/>
      <c r="P208" s="335"/>
      <c r="Q208" s="335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8"/>
    </row>
    <row r="209" spans="2:42" ht="16.5" customHeight="1">
      <c r="B209" s="7"/>
      <c r="C209" s="11" t="s">
        <v>549</v>
      </c>
      <c r="D209" s="7"/>
      <c r="E209" s="7"/>
      <c r="F209" s="7"/>
      <c r="G209" s="335"/>
      <c r="H209" s="335"/>
      <c r="I209" s="335"/>
      <c r="J209" s="335"/>
      <c r="K209" s="335"/>
      <c r="L209" s="335"/>
      <c r="M209" s="335"/>
      <c r="N209" s="335"/>
      <c r="O209" s="335"/>
      <c r="P209" s="335"/>
      <c r="Q209" s="335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8"/>
    </row>
    <row r="210" spans="2:42" ht="16.5" customHeight="1">
      <c r="B210" s="7"/>
      <c r="C210" s="11" t="s">
        <v>539</v>
      </c>
      <c r="D210" s="7"/>
      <c r="E210" s="7"/>
      <c r="F210" s="7"/>
      <c r="G210" s="335"/>
      <c r="H210" s="335"/>
      <c r="I210" s="335"/>
      <c r="J210" s="335"/>
      <c r="K210" s="335"/>
      <c r="L210" s="335"/>
      <c r="M210" s="335"/>
      <c r="N210" s="335"/>
      <c r="O210" s="335"/>
      <c r="P210" s="335"/>
      <c r="Q210" s="335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8"/>
    </row>
    <row r="211" spans="2:42" ht="16.5" customHeight="1">
      <c r="B211" s="7"/>
      <c r="C211" s="7"/>
      <c r="D211" s="7"/>
      <c r="E211" s="7"/>
      <c r="F211" s="7"/>
      <c r="G211" s="335"/>
      <c r="H211" s="335"/>
      <c r="I211" s="335"/>
      <c r="J211" s="335"/>
      <c r="K211" s="335"/>
      <c r="L211" s="335"/>
      <c r="M211" s="335"/>
      <c r="N211" s="335"/>
      <c r="O211" s="335"/>
      <c r="P211" s="335"/>
      <c r="Q211" s="335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8"/>
    </row>
    <row r="212" spans="2:42" ht="16.5" customHeight="1">
      <c r="B212" s="314" t="s">
        <v>542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1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8"/>
    </row>
    <row r="213" spans="2:42" ht="16.5" customHeight="1">
      <c r="B213" s="265" t="s">
        <v>538</v>
      </c>
      <c r="C213" s="265"/>
      <c r="D213" s="26"/>
      <c r="E213" s="26" t="s">
        <v>551</v>
      </c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 t="s">
        <v>538</v>
      </c>
      <c r="W213" s="26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8"/>
    </row>
    <row r="214" spans="2:42" ht="16.5" customHeight="1">
      <c r="B214" s="374">
        <f>INDEX(Zwischenwerte!$A$281:$B$298,Zwischenwerte!$C282,2)</f>
        <v>0</v>
      </c>
      <c r="C214" s="374"/>
      <c r="D214" s="7"/>
      <c r="E214" s="323"/>
      <c r="F214" s="323"/>
      <c r="G214" s="323"/>
      <c r="H214" s="323"/>
      <c r="I214" s="7"/>
      <c r="J214" s="335"/>
      <c r="K214" s="335"/>
      <c r="L214" s="335"/>
      <c r="M214" s="335"/>
      <c r="N214" s="335"/>
      <c r="O214" s="335"/>
      <c r="P214" s="335"/>
      <c r="Q214" s="335"/>
      <c r="R214" s="335"/>
      <c r="S214" s="335"/>
      <c r="T214" s="335"/>
      <c r="U214" s="7"/>
      <c r="V214" s="322"/>
      <c r="W214" s="322"/>
      <c r="X214" s="7"/>
      <c r="Y214" s="32" t="s">
        <v>73</v>
      </c>
      <c r="Z214" s="27"/>
      <c r="AA214" s="410">
        <f>SUM(B214:C226,V214:W226,J185:K187,V173:W177)</f>
        <v>0</v>
      </c>
      <c r="AB214" s="411"/>
      <c r="AC214" s="412"/>
      <c r="AD214" s="27" t="s">
        <v>329</v>
      </c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8"/>
    </row>
    <row r="215" spans="2:42" ht="16.5" customHeight="1">
      <c r="B215" s="374">
        <f>INDEX(Zwischenwerte!$A$281:$B$298,Zwischenwerte!$C283,2)</f>
        <v>0</v>
      </c>
      <c r="C215" s="374"/>
      <c r="D215" s="7"/>
      <c r="E215" s="323"/>
      <c r="F215" s="323"/>
      <c r="G215" s="323"/>
      <c r="H215" s="323"/>
      <c r="I215" s="7"/>
      <c r="J215" s="335"/>
      <c r="K215" s="335"/>
      <c r="L215" s="335"/>
      <c r="M215" s="335"/>
      <c r="N215" s="335"/>
      <c r="O215" s="335"/>
      <c r="P215" s="335"/>
      <c r="Q215" s="335"/>
      <c r="R215" s="335"/>
      <c r="S215" s="335"/>
      <c r="T215" s="335"/>
      <c r="U215" s="7"/>
      <c r="V215" s="322"/>
      <c r="W215" s="322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8"/>
    </row>
    <row r="216" spans="2:42" ht="16.5" customHeight="1">
      <c r="B216" s="374">
        <f>INDEX(Zwischenwerte!$A$281:$B$298,Zwischenwerte!$C284,2)</f>
        <v>0</v>
      </c>
      <c r="C216" s="374"/>
      <c r="D216" s="7"/>
      <c r="E216" s="323"/>
      <c r="F216" s="323"/>
      <c r="G216" s="323"/>
      <c r="H216" s="323"/>
      <c r="I216" s="7"/>
      <c r="J216" s="335"/>
      <c r="K216" s="335"/>
      <c r="L216" s="335"/>
      <c r="M216" s="335"/>
      <c r="N216" s="335"/>
      <c r="O216" s="335"/>
      <c r="P216" s="335"/>
      <c r="Q216" s="335"/>
      <c r="R216" s="335"/>
      <c r="S216" s="335"/>
      <c r="T216" s="335"/>
      <c r="U216" s="7"/>
      <c r="V216" s="322"/>
      <c r="W216" s="322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8"/>
    </row>
    <row r="217" spans="2:42" ht="16.5" customHeight="1">
      <c r="B217" s="374">
        <f>INDEX(Zwischenwerte!$A$281:$B$298,Zwischenwerte!$C285,2)</f>
        <v>0</v>
      </c>
      <c r="C217" s="374"/>
      <c r="D217" s="7"/>
      <c r="E217" s="323"/>
      <c r="F217" s="323"/>
      <c r="G217" s="323"/>
      <c r="H217" s="323"/>
      <c r="I217" s="7"/>
      <c r="J217" s="335"/>
      <c r="K217" s="335"/>
      <c r="L217" s="335"/>
      <c r="M217" s="335"/>
      <c r="N217" s="335"/>
      <c r="O217" s="335"/>
      <c r="P217" s="335"/>
      <c r="Q217" s="335"/>
      <c r="R217" s="335"/>
      <c r="S217" s="335"/>
      <c r="T217" s="335"/>
      <c r="U217" s="7"/>
      <c r="V217" s="322"/>
      <c r="W217" s="322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8"/>
    </row>
    <row r="218" spans="2:42" ht="16.5" customHeight="1">
      <c r="B218" s="374">
        <f>INDEX(Zwischenwerte!$A$281:$B$298,Zwischenwerte!$C286,2)</f>
        <v>0</v>
      </c>
      <c r="C218" s="374"/>
      <c r="D218" s="7"/>
      <c r="E218" s="323"/>
      <c r="F218" s="323"/>
      <c r="G218" s="323"/>
      <c r="H218" s="323"/>
      <c r="I218" s="7"/>
      <c r="J218" s="335"/>
      <c r="K218" s="335"/>
      <c r="L218" s="335"/>
      <c r="M218" s="335"/>
      <c r="N218" s="335"/>
      <c r="O218" s="335"/>
      <c r="P218" s="335"/>
      <c r="Q218" s="335"/>
      <c r="R218" s="335"/>
      <c r="S218" s="335"/>
      <c r="T218" s="335"/>
      <c r="U218" s="7"/>
      <c r="V218" s="322"/>
      <c r="W218" s="322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8"/>
    </row>
    <row r="219" spans="2:42" ht="16.5" customHeight="1">
      <c r="B219" s="374">
        <f>INDEX(Zwischenwerte!$A$281:$B$298,Zwischenwerte!$C287,2)</f>
        <v>0</v>
      </c>
      <c r="C219" s="374"/>
      <c r="D219" s="7"/>
      <c r="E219" s="323"/>
      <c r="F219" s="323"/>
      <c r="G219" s="323"/>
      <c r="H219" s="323"/>
      <c r="I219" s="7"/>
      <c r="J219" s="335"/>
      <c r="K219" s="335"/>
      <c r="L219" s="335"/>
      <c r="M219" s="335"/>
      <c r="N219" s="335"/>
      <c r="O219" s="335"/>
      <c r="P219" s="335"/>
      <c r="Q219" s="335"/>
      <c r="R219" s="335"/>
      <c r="S219" s="335"/>
      <c r="T219" s="335"/>
      <c r="U219" s="7"/>
      <c r="V219" s="322"/>
      <c r="W219" s="322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8"/>
    </row>
    <row r="220" spans="2:42" ht="16.5" customHeight="1">
      <c r="B220" s="374">
        <f>INDEX(Zwischenwerte!$A$281:$B$298,Zwischenwerte!$C288,2)</f>
        <v>0</v>
      </c>
      <c r="C220" s="374"/>
      <c r="D220" s="7"/>
      <c r="E220" s="323"/>
      <c r="F220" s="323"/>
      <c r="G220" s="323"/>
      <c r="H220" s="323"/>
      <c r="I220" s="7"/>
      <c r="J220" s="335"/>
      <c r="K220" s="335"/>
      <c r="L220" s="335"/>
      <c r="M220" s="335"/>
      <c r="N220" s="335"/>
      <c r="O220" s="335"/>
      <c r="P220" s="335"/>
      <c r="Q220" s="335"/>
      <c r="R220" s="335"/>
      <c r="S220" s="335"/>
      <c r="T220" s="335"/>
      <c r="U220" s="7"/>
      <c r="V220" s="322"/>
      <c r="W220" s="322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8"/>
    </row>
    <row r="221" spans="2:42" ht="16.5" customHeight="1">
      <c r="B221" s="374">
        <f>INDEX(Zwischenwerte!$A$281:$B$298,Zwischenwerte!$C289,2)</f>
        <v>0</v>
      </c>
      <c r="C221" s="374"/>
      <c r="D221" s="7"/>
      <c r="E221" s="323"/>
      <c r="F221" s="323"/>
      <c r="G221" s="323"/>
      <c r="H221" s="323"/>
      <c r="I221" s="7"/>
      <c r="J221" s="335"/>
      <c r="K221" s="335"/>
      <c r="L221" s="335"/>
      <c r="M221" s="335"/>
      <c r="N221" s="335"/>
      <c r="O221" s="335"/>
      <c r="P221" s="335"/>
      <c r="Q221" s="335"/>
      <c r="R221" s="335"/>
      <c r="S221" s="335"/>
      <c r="T221" s="335"/>
      <c r="U221" s="7"/>
      <c r="V221" s="322"/>
      <c r="W221" s="322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8"/>
    </row>
    <row r="222" spans="2:42" ht="16.5" customHeight="1">
      <c r="B222" s="374">
        <f>INDEX(Zwischenwerte!$A$281:$B$298,Zwischenwerte!$C290,2)</f>
        <v>0</v>
      </c>
      <c r="C222" s="374"/>
      <c r="D222" s="7"/>
      <c r="E222" s="323"/>
      <c r="F222" s="323"/>
      <c r="G222" s="323"/>
      <c r="H222" s="323"/>
      <c r="I222" s="7"/>
      <c r="J222" s="335"/>
      <c r="K222" s="335"/>
      <c r="L222" s="335"/>
      <c r="M222" s="335"/>
      <c r="N222" s="335"/>
      <c r="O222" s="335"/>
      <c r="P222" s="335"/>
      <c r="Q222" s="335"/>
      <c r="R222" s="335"/>
      <c r="S222" s="335"/>
      <c r="T222" s="335"/>
      <c r="U222" s="7"/>
      <c r="V222" s="322"/>
      <c r="W222" s="322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8"/>
    </row>
    <row r="223" spans="2:42" ht="16.5" customHeight="1">
      <c r="B223" s="374">
        <f>INDEX(Zwischenwerte!$A$281:$B$298,Zwischenwerte!$C291,2)</f>
        <v>0</v>
      </c>
      <c r="C223" s="374"/>
      <c r="D223" s="7"/>
      <c r="E223" s="323"/>
      <c r="F223" s="323"/>
      <c r="G223" s="323"/>
      <c r="H223" s="323"/>
      <c r="I223" s="7"/>
      <c r="J223" s="335"/>
      <c r="K223" s="335"/>
      <c r="L223" s="335"/>
      <c r="M223" s="335"/>
      <c r="N223" s="335"/>
      <c r="O223" s="335"/>
      <c r="P223" s="335"/>
      <c r="Q223" s="335"/>
      <c r="R223" s="335"/>
      <c r="S223" s="335"/>
      <c r="T223" s="335"/>
      <c r="U223" s="7"/>
      <c r="V223" s="322"/>
      <c r="W223" s="322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8"/>
    </row>
    <row r="224" spans="2:42" ht="16.5" customHeight="1">
      <c r="B224" s="374">
        <f>INDEX(Zwischenwerte!$A$281:$B$298,Zwischenwerte!$C292,2)</f>
        <v>0</v>
      </c>
      <c r="C224" s="374"/>
      <c r="D224" s="7"/>
      <c r="E224" s="323"/>
      <c r="F224" s="323"/>
      <c r="G224" s="323"/>
      <c r="H224" s="323"/>
      <c r="I224" s="7"/>
      <c r="J224" s="335"/>
      <c r="K224" s="335"/>
      <c r="L224" s="335"/>
      <c r="M224" s="335"/>
      <c r="N224" s="335"/>
      <c r="O224" s="335"/>
      <c r="P224" s="335"/>
      <c r="Q224" s="335"/>
      <c r="R224" s="335"/>
      <c r="S224" s="335"/>
      <c r="T224" s="335"/>
      <c r="U224" s="7"/>
      <c r="V224" s="322"/>
      <c r="W224" s="322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8"/>
    </row>
    <row r="225" spans="2:42" ht="16.5" customHeight="1">
      <c r="B225" s="374">
        <f>INDEX(Zwischenwerte!$A$281:$B$298,Zwischenwerte!$C293,2)</f>
        <v>0</v>
      </c>
      <c r="C225" s="374"/>
      <c r="D225" s="7"/>
      <c r="E225" s="323"/>
      <c r="F225" s="323"/>
      <c r="G225" s="323"/>
      <c r="H225" s="323"/>
      <c r="I225" s="7"/>
      <c r="J225" s="335"/>
      <c r="K225" s="335"/>
      <c r="L225" s="335"/>
      <c r="M225" s="335"/>
      <c r="N225" s="335"/>
      <c r="O225" s="335"/>
      <c r="P225" s="335"/>
      <c r="Q225" s="335"/>
      <c r="R225" s="335"/>
      <c r="S225" s="335"/>
      <c r="T225" s="335"/>
      <c r="U225" s="7"/>
      <c r="V225" s="322"/>
      <c r="W225" s="322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8"/>
    </row>
    <row r="226" spans="2:42" ht="16.5" customHeight="1">
      <c r="B226" s="374">
        <f>INDEX(Zwischenwerte!$A$281:$B$298,Zwischenwerte!$C294,2)</f>
        <v>0</v>
      </c>
      <c r="C226" s="374"/>
      <c r="D226" s="7"/>
      <c r="E226" s="323"/>
      <c r="F226" s="323"/>
      <c r="G226" s="323"/>
      <c r="H226" s="323"/>
      <c r="I226" s="7"/>
      <c r="J226" s="335"/>
      <c r="K226" s="335"/>
      <c r="L226" s="335"/>
      <c r="M226" s="335"/>
      <c r="N226" s="335"/>
      <c r="O226" s="335"/>
      <c r="P226" s="335"/>
      <c r="Q226" s="335"/>
      <c r="R226" s="335"/>
      <c r="S226" s="335"/>
      <c r="T226" s="335"/>
      <c r="U226" s="7"/>
      <c r="V226" s="322"/>
      <c r="W226" s="322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8"/>
    </row>
    <row r="227" spans="2:42" ht="16.5" customHeight="1">
      <c r="B227" s="263"/>
      <c r="C227" s="263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8"/>
    </row>
    <row r="228" spans="2:42" ht="16.5" customHeight="1">
      <c r="B228" s="314" t="s">
        <v>220</v>
      </c>
      <c r="C228" s="224"/>
      <c r="D228" s="224"/>
      <c r="E228" s="224"/>
      <c r="F228" s="224"/>
      <c r="G228" s="224"/>
      <c r="H228" s="224"/>
      <c r="I228" s="224"/>
      <c r="J228" s="224"/>
      <c r="K228" s="224"/>
      <c r="L228" s="224"/>
      <c r="M228" s="224"/>
      <c r="N228" s="224"/>
      <c r="O228" s="224"/>
      <c r="P228" s="224"/>
      <c r="Q228" s="224"/>
      <c r="R228" s="224" t="s">
        <v>144</v>
      </c>
      <c r="S228" s="224"/>
      <c r="T228" s="224"/>
      <c r="U228" s="224"/>
      <c r="V228" s="363" t="s">
        <v>145</v>
      </c>
      <c r="W228" s="363"/>
      <c r="X228" s="363"/>
      <c r="Y228" s="363"/>
      <c r="Z228" s="363"/>
      <c r="AA228" s="363"/>
      <c r="AB228" s="364"/>
      <c r="AC228" s="290"/>
      <c r="AD228" s="224"/>
      <c r="AE228" s="224"/>
      <c r="AF228" s="224"/>
      <c r="AG228" s="224"/>
      <c r="AH228" s="224"/>
      <c r="AI228" s="224"/>
      <c r="AJ228" s="224"/>
      <c r="AK228" s="223"/>
      <c r="AL228" s="7"/>
      <c r="AM228" s="7"/>
      <c r="AN228" s="7"/>
      <c r="AO228" s="7"/>
      <c r="AP228" s="7"/>
    </row>
    <row r="229" spans="2:42" ht="16.5" customHeight="1">
      <c r="B229" s="224" t="s">
        <v>219</v>
      </c>
      <c r="C229" s="224"/>
      <c r="D229" s="224"/>
      <c r="E229" s="224" t="s">
        <v>221</v>
      </c>
      <c r="F229" s="224"/>
      <c r="G229" s="224"/>
      <c r="H229" s="224" t="s">
        <v>222</v>
      </c>
      <c r="I229" s="224"/>
      <c r="J229" s="224"/>
      <c r="K229" s="224" t="s">
        <v>223</v>
      </c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4"/>
      <c r="W229" s="224"/>
      <c r="X229" s="224"/>
      <c r="Y229" s="224"/>
      <c r="Z229" s="224"/>
      <c r="AA229" s="224"/>
      <c r="AB229" s="224"/>
      <c r="AC229" s="224"/>
      <c r="AD229" s="224"/>
      <c r="AE229" s="224"/>
      <c r="AF229" s="224"/>
      <c r="AG229" s="224"/>
      <c r="AH229" s="224"/>
      <c r="AI229" s="224"/>
      <c r="AJ229" s="224"/>
      <c r="AK229" s="223"/>
      <c r="AL229" s="7"/>
      <c r="AM229" s="7"/>
      <c r="AN229" s="7"/>
      <c r="AO229" s="7"/>
      <c r="AP229" s="7"/>
    </row>
    <row r="230" spans="2:42" ht="16.5" customHeight="1">
      <c r="B230" s="224">
        <v>0</v>
      </c>
      <c r="C230" s="224"/>
      <c r="D230" s="224"/>
      <c r="E230" s="345"/>
      <c r="F230" s="346"/>
      <c r="G230" s="224"/>
      <c r="H230" s="345"/>
      <c r="I230" s="346"/>
      <c r="J230" s="224"/>
      <c r="K230" s="350"/>
      <c r="L230" s="351"/>
      <c r="M230" s="351"/>
      <c r="N230" s="351"/>
      <c r="O230" s="351"/>
      <c r="P230" s="351"/>
      <c r="Q230" s="351"/>
      <c r="R230" s="351"/>
      <c r="S230" s="351"/>
      <c r="T230" s="351"/>
      <c r="U230" s="351"/>
      <c r="V230" s="351"/>
      <c r="W230" s="351"/>
      <c r="X230" s="351"/>
      <c r="Y230" s="351"/>
      <c r="Z230" s="351"/>
      <c r="AA230" s="351"/>
      <c r="AB230" s="351"/>
      <c r="AC230" s="351"/>
      <c r="AD230" s="351"/>
      <c r="AE230" s="351"/>
      <c r="AF230" s="351"/>
      <c r="AG230" s="351"/>
      <c r="AH230" s="351"/>
      <c r="AI230" s="351"/>
      <c r="AJ230" s="337"/>
      <c r="AK230" s="223"/>
      <c r="AL230" s="7"/>
      <c r="AM230" s="7"/>
      <c r="AN230" s="7"/>
      <c r="AO230" s="7"/>
      <c r="AP230" s="7"/>
    </row>
    <row r="231" spans="2:42" ht="16.5" customHeight="1">
      <c r="B231" s="224"/>
      <c r="C231" s="224"/>
      <c r="D231" s="224"/>
      <c r="E231" s="7"/>
      <c r="F231" s="7"/>
      <c r="G231" s="7"/>
      <c r="H231" s="7"/>
      <c r="I231" s="7"/>
      <c r="J231" s="224"/>
      <c r="K231" s="338"/>
      <c r="L231" s="339"/>
      <c r="M231" s="339"/>
      <c r="N231" s="339"/>
      <c r="O231" s="339"/>
      <c r="P231" s="339"/>
      <c r="Q231" s="339"/>
      <c r="R231" s="339"/>
      <c r="S231" s="339"/>
      <c r="T231" s="339"/>
      <c r="U231" s="339"/>
      <c r="V231" s="339"/>
      <c r="W231" s="339"/>
      <c r="X231" s="339"/>
      <c r="Y231" s="339"/>
      <c r="Z231" s="339"/>
      <c r="AA231" s="339"/>
      <c r="AB231" s="339"/>
      <c r="AC231" s="339"/>
      <c r="AD231" s="339"/>
      <c r="AE231" s="339"/>
      <c r="AF231" s="339"/>
      <c r="AG231" s="339"/>
      <c r="AH231" s="339"/>
      <c r="AI231" s="339"/>
      <c r="AJ231" s="340"/>
      <c r="AK231" s="223"/>
      <c r="AL231" s="7"/>
      <c r="AM231" s="7"/>
      <c r="AN231" s="7"/>
      <c r="AO231" s="7"/>
      <c r="AP231" s="7"/>
    </row>
    <row r="232" spans="2:42" ht="16.5" customHeight="1">
      <c r="B232" s="224"/>
      <c r="C232" s="224"/>
      <c r="D232" s="224"/>
      <c r="E232" s="7"/>
      <c r="F232" s="7"/>
      <c r="G232" s="7"/>
      <c r="H232" s="7"/>
      <c r="I232" s="7"/>
      <c r="J232" s="224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4"/>
      <c r="W232" s="224"/>
      <c r="X232" s="224"/>
      <c r="Y232" s="224"/>
      <c r="Z232" s="224"/>
      <c r="AA232" s="224"/>
      <c r="AB232" s="224"/>
      <c r="AC232" s="224"/>
      <c r="AD232" s="224"/>
      <c r="AE232" s="224"/>
      <c r="AF232" s="224"/>
      <c r="AG232" s="224"/>
      <c r="AH232" s="224"/>
      <c r="AI232" s="224"/>
      <c r="AJ232" s="224"/>
      <c r="AK232" s="223"/>
      <c r="AL232" s="7"/>
      <c r="AM232" s="7"/>
      <c r="AN232" s="7"/>
      <c r="AO232" s="7"/>
      <c r="AP232" s="7"/>
    </row>
    <row r="233" spans="2:42" ht="16.5" customHeight="1">
      <c r="B233" s="224">
        <v>1</v>
      </c>
      <c r="C233" s="224"/>
      <c r="D233" s="224"/>
      <c r="E233" s="345"/>
      <c r="F233" s="346"/>
      <c r="G233" s="224"/>
      <c r="H233" s="345"/>
      <c r="I233" s="346"/>
      <c r="J233" s="224"/>
      <c r="K233" s="350"/>
      <c r="L233" s="351"/>
      <c r="M233" s="351"/>
      <c r="N233" s="351"/>
      <c r="O233" s="351"/>
      <c r="P233" s="351"/>
      <c r="Q233" s="351"/>
      <c r="R233" s="351"/>
      <c r="S233" s="351"/>
      <c r="T233" s="351"/>
      <c r="U233" s="351"/>
      <c r="V233" s="351"/>
      <c r="W233" s="351"/>
      <c r="X233" s="351"/>
      <c r="Y233" s="351"/>
      <c r="Z233" s="351"/>
      <c r="AA233" s="351"/>
      <c r="AB233" s="351"/>
      <c r="AC233" s="351"/>
      <c r="AD233" s="351"/>
      <c r="AE233" s="351"/>
      <c r="AF233" s="351"/>
      <c r="AG233" s="351"/>
      <c r="AH233" s="351"/>
      <c r="AI233" s="351"/>
      <c r="AJ233" s="337"/>
      <c r="AK233" s="223"/>
      <c r="AL233" s="7"/>
      <c r="AM233" s="7"/>
      <c r="AN233" s="7"/>
      <c r="AO233" s="7"/>
      <c r="AP233" s="7"/>
    </row>
    <row r="234" spans="2:42" ht="16.5" customHeight="1">
      <c r="B234" s="224"/>
      <c r="C234" s="224"/>
      <c r="D234" s="224"/>
      <c r="E234" s="7"/>
      <c r="F234" s="7"/>
      <c r="G234" s="7"/>
      <c r="H234" s="7"/>
      <c r="I234" s="7"/>
      <c r="J234" s="224"/>
      <c r="K234" s="338"/>
      <c r="L234" s="339"/>
      <c r="M234" s="339"/>
      <c r="N234" s="339"/>
      <c r="O234" s="339"/>
      <c r="P234" s="339"/>
      <c r="Q234" s="339"/>
      <c r="R234" s="339"/>
      <c r="S234" s="339"/>
      <c r="T234" s="339"/>
      <c r="U234" s="339"/>
      <c r="V234" s="339"/>
      <c r="W234" s="339"/>
      <c r="X234" s="339"/>
      <c r="Y234" s="339"/>
      <c r="Z234" s="339"/>
      <c r="AA234" s="339"/>
      <c r="AB234" s="339"/>
      <c r="AC234" s="339"/>
      <c r="AD234" s="339"/>
      <c r="AE234" s="339"/>
      <c r="AF234" s="339"/>
      <c r="AG234" s="339"/>
      <c r="AH234" s="339"/>
      <c r="AI234" s="339"/>
      <c r="AJ234" s="340"/>
      <c r="AK234" s="223"/>
      <c r="AL234" s="7"/>
      <c r="AM234" s="7"/>
      <c r="AN234" s="7"/>
      <c r="AO234" s="7"/>
      <c r="AP234" s="7"/>
    </row>
    <row r="235" spans="2:42" ht="16.5" customHeight="1">
      <c r="B235" s="224"/>
      <c r="C235" s="224"/>
      <c r="D235" s="224"/>
      <c r="E235" s="224"/>
      <c r="F235" s="224"/>
      <c r="G235" s="224"/>
      <c r="H235" s="224"/>
      <c r="I235" s="224"/>
      <c r="J235" s="224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223"/>
      <c r="AL235" s="7"/>
      <c r="AM235" s="7"/>
      <c r="AN235" s="7"/>
      <c r="AO235" s="7"/>
      <c r="AP235" s="7"/>
    </row>
    <row r="236" spans="2:42" ht="16.5" customHeight="1">
      <c r="B236" s="224">
        <v>2</v>
      </c>
      <c r="C236" s="224"/>
      <c r="D236" s="224"/>
      <c r="E236" s="345"/>
      <c r="F236" s="346"/>
      <c r="G236" s="224"/>
      <c r="H236" s="345"/>
      <c r="I236" s="346"/>
      <c r="J236" s="224"/>
      <c r="K236" s="350"/>
      <c r="L236" s="351"/>
      <c r="M236" s="351"/>
      <c r="N236" s="351"/>
      <c r="O236" s="351"/>
      <c r="P236" s="351"/>
      <c r="Q236" s="351"/>
      <c r="R236" s="351"/>
      <c r="S236" s="351"/>
      <c r="T236" s="351"/>
      <c r="U236" s="351"/>
      <c r="V236" s="351"/>
      <c r="W236" s="351"/>
      <c r="X236" s="351"/>
      <c r="Y236" s="351"/>
      <c r="Z236" s="351"/>
      <c r="AA236" s="351"/>
      <c r="AB236" s="351"/>
      <c r="AC236" s="351"/>
      <c r="AD236" s="351"/>
      <c r="AE236" s="351"/>
      <c r="AF236" s="351"/>
      <c r="AG236" s="351"/>
      <c r="AH236" s="351"/>
      <c r="AI236" s="351"/>
      <c r="AJ236" s="337"/>
      <c r="AK236" s="223"/>
      <c r="AL236" s="7"/>
      <c r="AM236" s="7"/>
      <c r="AN236" s="7"/>
      <c r="AO236" s="7"/>
      <c r="AP236" s="7"/>
    </row>
    <row r="237" spans="2:42" ht="16.5" customHeight="1">
      <c r="B237" s="224"/>
      <c r="C237" s="224"/>
      <c r="D237" s="224"/>
      <c r="E237" s="229"/>
      <c r="F237" s="7"/>
      <c r="G237" s="7"/>
      <c r="H237" s="7"/>
      <c r="I237" s="7"/>
      <c r="J237" s="224"/>
      <c r="K237" s="338"/>
      <c r="L237" s="339"/>
      <c r="M237" s="339"/>
      <c r="N237" s="339"/>
      <c r="O237" s="339"/>
      <c r="P237" s="339"/>
      <c r="Q237" s="339"/>
      <c r="R237" s="339"/>
      <c r="S237" s="339"/>
      <c r="T237" s="339"/>
      <c r="U237" s="339"/>
      <c r="V237" s="339"/>
      <c r="W237" s="339"/>
      <c r="X237" s="339"/>
      <c r="Y237" s="339"/>
      <c r="Z237" s="339"/>
      <c r="AA237" s="339"/>
      <c r="AB237" s="339"/>
      <c r="AC237" s="339"/>
      <c r="AD237" s="339"/>
      <c r="AE237" s="339"/>
      <c r="AF237" s="339"/>
      <c r="AG237" s="339"/>
      <c r="AH237" s="339"/>
      <c r="AI237" s="339"/>
      <c r="AJ237" s="340"/>
      <c r="AK237" s="223"/>
      <c r="AL237" s="7"/>
      <c r="AM237" s="7"/>
      <c r="AN237" s="7"/>
      <c r="AO237" s="7"/>
      <c r="AP237" s="7"/>
    </row>
    <row r="238" spans="2:42" ht="16.5" customHeight="1">
      <c r="B238" s="224"/>
      <c r="C238" s="224"/>
      <c r="D238" s="224"/>
      <c r="E238" s="224"/>
      <c r="F238" s="224"/>
      <c r="G238" s="224"/>
      <c r="H238" s="224"/>
      <c r="I238" s="224"/>
      <c r="J238" s="224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4"/>
      <c r="W238" s="224"/>
      <c r="X238" s="224"/>
      <c r="Y238" s="224"/>
      <c r="Z238" s="224"/>
      <c r="AA238" s="224"/>
      <c r="AB238" s="224"/>
      <c r="AC238" s="224"/>
      <c r="AD238" s="224"/>
      <c r="AE238" s="224"/>
      <c r="AF238" s="224"/>
      <c r="AG238" s="224"/>
      <c r="AH238" s="224"/>
      <c r="AI238" s="224"/>
      <c r="AJ238" s="224"/>
      <c r="AK238" s="223"/>
      <c r="AL238" s="7"/>
      <c r="AM238" s="7"/>
      <c r="AN238" s="7"/>
      <c r="AO238" s="7"/>
      <c r="AP238" s="7"/>
    </row>
    <row r="239" spans="2:42" ht="16.5" customHeight="1">
      <c r="B239" s="224">
        <v>3</v>
      </c>
      <c r="C239" s="224"/>
      <c r="D239" s="224"/>
      <c r="E239" s="345"/>
      <c r="F239" s="346"/>
      <c r="G239" s="224"/>
      <c r="H239" s="345"/>
      <c r="I239" s="346"/>
      <c r="J239" s="224"/>
      <c r="K239" s="345"/>
      <c r="L239" s="341"/>
      <c r="M239" s="341"/>
      <c r="N239" s="341"/>
      <c r="O239" s="341"/>
      <c r="P239" s="341"/>
      <c r="Q239" s="341"/>
      <c r="R239" s="341"/>
      <c r="S239" s="341"/>
      <c r="T239" s="341"/>
      <c r="U239" s="341"/>
      <c r="V239" s="341"/>
      <c r="W239" s="341"/>
      <c r="X239" s="341"/>
      <c r="Y239" s="341"/>
      <c r="Z239" s="341"/>
      <c r="AA239" s="341"/>
      <c r="AB239" s="341"/>
      <c r="AC239" s="341"/>
      <c r="AD239" s="341"/>
      <c r="AE239" s="341"/>
      <c r="AF239" s="341"/>
      <c r="AG239" s="341"/>
      <c r="AH239" s="341"/>
      <c r="AI239" s="341"/>
      <c r="AJ239" s="346"/>
      <c r="AK239" s="223"/>
      <c r="AL239" s="7"/>
      <c r="AM239" s="7"/>
      <c r="AN239" s="7"/>
      <c r="AO239" s="7"/>
      <c r="AP239" s="7"/>
    </row>
    <row r="240" spans="2:42" ht="16.5" customHeight="1">
      <c r="B240" s="224"/>
      <c r="C240" s="224"/>
      <c r="D240" s="224"/>
      <c r="E240" s="224"/>
      <c r="F240" s="224"/>
      <c r="G240" s="224"/>
      <c r="H240" s="224"/>
      <c r="I240" s="224"/>
      <c r="J240" s="224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4"/>
      <c r="W240" s="224"/>
      <c r="X240" s="224"/>
      <c r="Y240" s="224"/>
      <c r="Z240" s="224"/>
      <c r="AA240" s="224"/>
      <c r="AB240" s="224"/>
      <c r="AC240" s="224"/>
      <c r="AD240" s="224"/>
      <c r="AE240" s="224"/>
      <c r="AF240" s="224"/>
      <c r="AG240" s="224"/>
      <c r="AH240" s="224"/>
      <c r="AI240" s="224"/>
      <c r="AJ240" s="224"/>
      <c r="AK240" s="223"/>
      <c r="AL240" s="7"/>
      <c r="AM240" s="7"/>
      <c r="AN240" s="7"/>
      <c r="AO240" s="7"/>
      <c r="AP240" s="7"/>
    </row>
    <row r="241" spans="2:42" ht="16.5" customHeight="1">
      <c r="B241" s="224">
        <v>4</v>
      </c>
      <c r="C241" s="224"/>
      <c r="D241" s="224"/>
      <c r="E241" s="345"/>
      <c r="F241" s="346"/>
      <c r="G241" s="224"/>
      <c r="H241" s="345"/>
      <c r="I241" s="346"/>
      <c r="J241" s="224"/>
      <c r="K241" s="345"/>
      <c r="L241" s="341"/>
      <c r="M241" s="341"/>
      <c r="N241" s="341"/>
      <c r="O241" s="341"/>
      <c r="P241" s="341"/>
      <c r="Q241" s="341"/>
      <c r="R241" s="341"/>
      <c r="S241" s="341"/>
      <c r="T241" s="341"/>
      <c r="U241" s="341"/>
      <c r="V241" s="341"/>
      <c r="W241" s="341"/>
      <c r="X241" s="341"/>
      <c r="Y241" s="341"/>
      <c r="Z241" s="341"/>
      <c r="AA241" s="341"/>
      <c r="AB241" s="341"/>
      <c r="AC241" s="341"/>
      <c r="AD241" s="341"/>
      <c r="AE241" s="341"/>
      <c r="AF241" s="341"/>
      <c r="AG241" s="341"/>
      <c r="AH241" s="341"/>
      <c r="AI241" s="341"/>
      <c r="AJ241" s="346"/>
      <c r="AK241" s="223"/>
      <c r="AL241" s="7"/>
      <c r="AM241" s="7"/>
      <c r="AN241" s="7"/>
      <c r="AO241" s="7"/>
      <c r="AP241" s="7"/>
    </row>
    <row r="242" spans="2:42" ht="16.5" customHeight="1">
      <c r="B242" s="224"/>
      <c r="C242" s="224"/>
      <c r="D242" s="224"/>
      <c r="E242" s="224"/>
      <c r="F242" s="224"/>
      <c r="G242" s="224"/>
      <c r="H242" s="224"/>
      <c r="I242" s="224"/>
      <c r="J242" s="224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4"/>
      <c r="W242" s="224"/>
      <c r="X242" s="224"/>
      <c r="Y242" s="224"/>
      <c r="Z242" s="224"/>
      <c r="AA242" s="224"/>
      <c r="AB242" s="224"/>
      <c r="AC242" s="224"/>
      <c r="AD242" s="224"/>
      <c r="AE242" s="224"/>
      <c r="AF242" s="224"/>
      <c r="AG242" s="224"/>
      <c r="AH242" s="224"/>
      <c r="AI242" s="224"/>
      <c r="AJ242" s="224"/>
      <c r="AK242" s="223"/>
      <c r="AL242" s="7"/>
      <c r="AM242" s="7"/>
      <c r="AN242" s="7"/>
      <c r="AO242" s="7"/>
      <c r="AP242" s="7"/>
    </row>
    <row r="243" spans="2:42" ht="16.5" customHeight="1">
      <c r="B243" s="224">
        <v>5</v>
      </c>
      <c r="C243" s="224"/>
      <c r="D243" s="224"/>
      <c r="E243" s="345"/>
      <c r="F243" s="346"/>
      <c r="G243" s="224"/>
      <c r="H243" s="345"/>
      <c r="I243" s="346"/>
      <c r="J243" s="224"/>
      <c r="K243" s="345"/>
      <c r="L243" s="341"/>
      <c r="M243" s="341"/>
      <c r="N243" s="341"/>
      <c r="O243" s="341"/>
      <c r="P243" s="341"/>
      <c r="Q243" s="341"/>
      <c r="R243" s="341"/>
      <c r="S243" s="341"/>
      <c r="T243" s="341"/>
      <c r="U243" s="341"/>
      <c r="V243" s="341"/>
      <c r="W243" s="341"/>
      <c r="X243" s="341"/>
      <c r="Y243" s="341"/>
      <c r="Z243" s="341"/>
      <c r="AA243" s="341"/>
      <c r="AB243" s="341"/>
      <c r="AC243" s="341"/>
      <c r="AD243" s="341"/>
      <c r="AE243" s="341"/>
      <c r="AF243" s="341"/>
      <c r="AG243" s="341"/>
      <c r="AH243" s="341"/>
      <c r="AI243" s="341"/>
      <c r="AJ243" s="346"/>
      <c r="AK243" s="223"/>
      <c r="AL243" s="7"/>
      <c r="AM243" s="7"/>
      <c r="AN243" s="7"/>
      <c r="AO243" s="7"/>
      <c r="AP243" s="7"/>
    </row>
    <row r="244" spans="2:42" ht="16.5" customHeight="1">
      <c r="B244" s="224"/>
      <c r="C244" s="224"/>
      <c r="D244" s="224"/>
      <c r="E244" s="224"/>
      <c r="F244" s="224"/>
      <c r="G244" s="224"/>
      <c r="H244" s="224"/>
      <c r="I244" s="224"/>
      <c r="J244" s="224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4"/>
      <c r="W244" s="224"/>
      <c r="X244" s="224"/>
      <c r="Y244" s="224"/>
      <c r="Z244" s="224"/>
      <c r="AA244" s="224"/>
      <c r="AB244" s="224"/>
      <c r="AC244" s="224"/>
      <c r="AD244" s="224"/>
      <c r="AE244" s="224"/>
      <c r="AF244" s="224"/>
      <c r="AG244" s="224"/>
      <c r="AH244" s="224"/>
      <c r="AI244" s="224"/>
      <c r="AJ244" s="224"/>
      <c r="AK244" s="223"/>
      <c r="AL244" s="7"/>
      <c r="AM244" s="7"/>
      <c r="AN244" s="7"/>
      <c r="AO244" s="7"/>
      <c r="AP244" s="7"/>
    </row>
    <row r="245" spans="2:42" ht="16.5" customHeight="1">
      <c r="B245" s="224">
        <v>6</v>
      </c>
      <c r="C245" s="224"/>
      <c r="D245" s="224"/>
      <c r="E245" s="345"/>
      <c r="F245" s="346"/>
      <c r="G245" s="224"/>
      <c r="H245" s="345"/>
      <c r="I245" s="346"/>
      <c r="J245" s="224"/>
      <c r="K245" s="345"/>
      <c r="L245" s="341"/>
      <c r="M245" s="341"/>
      <c r="N245" s="341"/>
      <c r="O245" s="341"/>
      <c r="P245" s="341"/>
      <c r="Q245" s="341"/>
      <c r="R245" s="341"/>
      <c r="S245" s="341"/>
      <c r="T245" s="341"/>
      <c r="U245" s="341"/>
      <c r="V245" s="341"/>
      <c r="W245" s="341"/>
      <c r="X245" s="341"/>
      <c r="Y245" s="341"/>
      <c r="Z245" s="341"/>
      <c r="AA245" s="341"/>
      <c r="AB245" s="341"/>
      <c r="AC245" s="341"/>
      <c r="AD245" s="341"/>
      <c r="AE245" s="341"/>
      <c r="AF245" s="341"/>
      <c r="AG245" s="341"/>
      <c r="AH245" s="341"/>
      <c r="AI245" s="341"/>
      <c r="AJ245" s="346"/>
      <c r="AK245" s="223"/>
      <c r="AL245" s="7"/>
      <c r="AM245" s="7"/>
      <c r="AN245" s="7"/>
      <c r="AO245" s="7"/>
      <c r="AP245" s="7"/>
    </row>
    <row r="246" spans="2:42" ht="16.5" customHeight="1">
      <c r="B246" s="224"/>
      <c r="C246" s="224"/>
      <c r="D246" s="224"/>
      <c r="E246" s="224"/>
      <c r="F246" s="224"/>
      <c r="G246" s="224"/>
      <c r="H246" s="224"/>
      <c r="I246" s="224"/>
      <c r="J246" s="224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4"/>
      <c r="W246" s="224"/>
      <c r="X246" s="224"/>
      <c r="Y246" s="224"/>
      <c r="Z246" s="224"/>
      <c r="AA246" s="224"/>
      <c r="AB246" s="224"/>
      <c r="AC246" s="224"/>
      <c r="AD246" s="224"/>
      <c r="AE246" s="224"/>
      <c r="AF246" s="224"/>
      <c r="AG246" s="224"/>
      <c r="AH246" s="224"/>
      <c r="AI246" s="224"/>
      <c r="AJ246" s="224"/>
      <c r="AK246" s="223"/>
      <c r="AL246" s="7"/>
      <c r="AM246" s="7"/>
      <c r="AN246" s="7"/>
      <c r="AO246" s="7"/>
      <c r="AP246" s="7"/>
    </row>
    <row r="247" spans="2:42" ht="16.5" customHeight="1">
      <c r="B247" s="224">
        <v>7</v>
      </c>
      <c r="C247" s="224"/>
      <c r="D247" s="224"/>
      <c r="E247" s="345"/>
      <c r="F247" s="346"/>
      <c r="G247" s="224"/>
      <c r="H247" s="345"/>
      <c r="I247" s="346"/>
      <c r="J247" s="224"/>
      <c r="K247" s="345"/>
      <c r="L247" s="341"/>
      <c r="M247" s="341"/>
      <c r="N247" s="341"/>
      <c r="O247" s="341"/>
      <c r="P247" s="341"/>
      <c r="Q247" s="341"/>
      <c r="R247" s="341"/>
      <c r="S247" s="341"/>
      <c r="T247" s="341"/>
      <c r="U247" s="341"/>
      <c r="V247" s="341"/>
      <c r="W247" s="341"/>
      <c r="X247" s="341"/>
      <c r="Y247" s="341"/>
      <c r="Z247" s="341"/>
      <c r="AA247" s="341"/>
      <c r="AB247" s="341"/>
      <c r="AC247" s="341"/>
      <c r="AD247" s="341"/>
      <c r="AE247" s="341"/>
      <c r="AF247" s="341"/>
      <c r="AG247" s="341"/>
      <c r="AH247" s="341"/>
      <c r="AI247" s="341"/>
      <c r="AJ247" s="346"/>
      <c r="AK247" s="223"/>
      <c r="AL247" s="7"/>
      <c r="AM247" s="7"/>
      <c r="AN247" s="7"/>
      <c r="AO247" s="7"/>
      <c r="AP247" s="7"/>
    </row>
    <row r="248" spans="2:42" ht="16.5" customHeight="1">
      <c r="B248" s="224"/>
      <c r="C248" s="224"/>
      <c r="D248" s="224"/>
      <c r="E248" s="224"/>
      <c r="F248" s="224"/>
      <c r="G248" s="224"/>
      <c r="H248" s="224"/>
      <c r="I248" s="224"/>
      <c r="J248" s="224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4"/>
      <c r="W248" s="224"/>
      <c r="X248" s="224"/>
      <c r="Y248" s="224"/>
      <c r="Z248" s="224"/>
      <c r="AA248" s="224"/>
      <c r="AB248" s="224"/>
      <c r="AC248" s="224"/>
      <c r="AD248" s="224"/>
      <c r="AE248" s="224"/>
      <c r="AF248" s="224"/>
      <c r="AG248" s="224"/>
      <c r="AH248" s="224"/>
      <c r="AI248" s="224"/>
      <c r="AJ248" s="224"/>
      <c r="AK248" s="223"/>
      <c r="AL248" s="7"/>
      <c r="AM248" s="7"/>
      <c r="AN248" s="7"/>
      <c r="AO248" s="7"/>
      <c r="AP248" s="7"/>
    </row>
    <row r="249" spans="2:42" ht="16.5" customHeight="1">
      <c r="B249" s="224">
        <v>8</v>
      </c>
      <c r="C249" s="224"/>
      <c r="D249" s="224"/>
      <c r="E249" s="345"/>
      <c r="F249" s="346"/>
      <c r="G249" s="224"/>
      <c r="H249" s="345"/>
      <c r="I249" s="346"/>
      <c r="J249" s="224"/>
      <c r="K249" s="345"/>
      <c r="L249" s="341"/>
      <c r="M249" s="341"/>
      <c r="N249" s="341"/>
      <c r="O249" s="341"/>
      <c r="P249" s="341"/>
      <c r="Q249" s="341"/>
      <c r="R249" s="341"/>
      <c r="S249" s="341"/>
      <c r="T249" s="341"/>
      <c r="U249" s="341"/>
      <c r="V249" s="341"/>
      <c r="W249" s="341"/>
      <c r="X249" s="341"/>
      <c r="Y249" s="341"/>
      <c r="Z249" s="341"/>
      <c r="AA249" s="341"/>
      <c r="AB249" s="341"/>
      <c r="AC249" s="341"/>
      <c r="AD249" s="341"/>
      <c r="AE249" s="341"/>
      <c r="AF249" s="341"/>
      <c r="AG249" s="341"/>
      <c r="AH249" s="341"/>
      <c r="AI249" s="341"/>
      <c r="AJ249" s="346"/>
      <c r="AK249" s="223"/>
      <c r="AL249" s="7"/>
      <c r="AM249" s="7"/>
      <c r="AN249" s="7"/>
      <c r="AO249" s="7"/>
      <c r="AP249" s="7"/>
    </row>
    <row r="250" spans="2:42" ht="16.5" customHeight="1">
      <c r="B250" s="224"/>
      <c r="C250" s="224"/>
      <c r="D250" s="224"/>
      <c r="E250" s="224"/>
      <c r="F250" s="224"/>
      <c r="G250" s="224"/>
      <c r="H250" s="224"/>
      <c r="I250" s="224"/>
      <c r="J250" s="224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4"/>
      <c r="W250" s="224"/>
      <c r="X250" s="224"/>
      <c r="Y250" s="224"/>
      <c r="Z250" s="224"/>
      <c r="AA250" s="224"/>
      <c r="AB250" s="224"/>
      <c r="AC250" s="224"/>
      <c r="AD250" s="224"/>
      <c r="AE250" s="224"/>
      <c r="AF250" s="224"/>
      <c r="AG250" s="224"/>
      <c r="AH250" s="224"/>
      <c r="AI250" s="224"/>
      <c r="AJ250" s="224"/>
      <c r="AK250" s="223"/>
      <c r="AL250" s="7"/>
      <c r="AM250" s="7"/>
      <c r="AN250" s="7"/>
      <c r="AO250" s="7"/>
      <c r="AP250" s="7"/>
    </row>
    <row r="251" spans="2:42" ht="16.5" customHeight="1">
      <c r="B251" s="224">
        <v>9</v>
      </c>
      <c r="C251" s="224"/>
      <c r="D251" s="224"/>
      <c r="E251" s="345"/>
      <c r="F251" s="346"/>
      <c r="G251" s="224"/>
      <c r="H251" s="345"/>
      <c r="I251" s="346"/>
      <c r="J251" s="224"/>
      <c r="K251" s="345"/>
      <c r="L251" s="341"/>
      <c r="M251" s="341"/>
      <c r="N251" s="341"/>
      <c r="O251" s="341"/>
      <c r="P251" s="341"/>
      <c r="Q251" s="341"/>
      <c r="R251" s="341"/>
      <c r="S251" s="341"/>
      <c r="T251" s="341"/>
      <c r="U251" s="341"/>
      <c r="V251" s="341"/>
      <c r="W251" s="341"/>
      <c r="X251" s="341"/>
      <c r="Y251" s="341"/>
      <c r="Z251" s="341"/>
      <c r="AA251" s="341"/>
      <c r="AB251" s="341"/>
      <c r="AC251" s="341"/>
      <c r="AD251" s="341"/>
      <c r="AE251" s="341"/>
      <c r="AF251" s="341"/>
      <c r="AG251" s="341"/>
      <c r="AH251" s="341"/>
      <c r="AI251" s="341"/>
      <c r="AJ251" s="346"/>
      <c r="AK251" s="223"/>
      <c r="AL251" s="7"/>
      <c r="AM251" s="7"/>
      <c r="AN251" s="7"/>
      <c r="AO251" s="7"/>
      <c r="AP251" s="7"/>
    </row>
    <row r="252" spans="2:42" ht="16.5" customHeight="1">
      <c r="B252" s="224"/>
      <c r="C252" s="224"/>
      <c r="D252" s="224"/>
      <c r="E252" s="224"/>
      <c r="F252" s="224"/>
      <c r="G252" s="224"/>
      <c r="H252" s="224"/>
      <c r="I252" s="224"/>
      <c r="J252" s="224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4"/>
      <c r="W252" s="224"/>
      <c r="X252" s="224"/>
      <c r="Y252" s="224"/>
      <c r="Z252" s="224"/>
      <c r="AA252" s="224"/>
      <c r="AB252" s="224"/>
      <c r="AC252" s="224"/>
      <c r="AD252" s="224"/>
      <c r="AE252" s="224"/>
      <c r="AF252" s="224"/>
      <c r="AG252" s="224"/>
      <c r="AH252" s="224"/>
      <c r="AI252" s="224"/>
      <c r="AJ252" s="224"/>
      <c r="AK252" s="223"/>
      <c r="AL252" s="7"/>
      <c r="AM252" s="7"/>
      <c r="AN252" s="7"/>
      <c r="AO252" s="7"/>
      <c r="AP252" s="7"/>
    </row>
    <row r="253" spans="2:42" ht="16.5" customHeight="1">
      <c r="B253" s="314" t="s">
        <v>224</v>
      </c>
      <c r="C253" s="224"/>
      <c r="D253" s="224"/>
      <c r="E253" s="224"/>
      <c r="F253" s="224"/>
      <c r="G253" s="224"/>
      <c r="H253" s="224"/>
      <c r="I253" s="224"/>
      <c r="J253" s="224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4"/>
      <c r="W253" s="224"/>
      <c r="X253" s="224"/>
      <c r="Y253" s="224"/>
      <c r="Z253" s="224"/>
      <c r="AA253" s="224"/>
      <c r="AB253" s="224"/>
      <c r="AC253" s="224"/>
      <c r="AD253" s="224"/>
      <c r="AE253" s="224"/>
      <c r="AF253" s="224"/>
      <c r="AG253" s="224"/>
      <c r="AH253" s="224"/>
      <c r="AI253" s="224"/>
      <c r="AJ253" s="224"/>
      <c r="AK253" s="223"/>
      <c r="AL253" s="7"/>
      <c r="AM253" s="7"/>
      <c r="AN253" s="7"/>
      <c r="AO253" s="7"/>
      <c r="AP253" s="7"/>
    </row>
    <row r="254" spans="2:42" ht="16.5" customHeight="1">
      <c r="B254" s="224" t="s">
        <v>226</v>
      </c>
      <c r="C254" s="224"/>
      <c r="D254" s="224"/>
      <c r="E254" s="224"/>
      <c r="F254" s="224"/>
      <c r="G254" s="224"/>
      <c r="H254" s="224"/>
      <c r="I254" s="224"/>
      <c r="J254" s="224"/>
      <c r="K254" s="224"/>
      <c r="L254" s="224"/>
      <c r="M254" s="224"/>
      <c r="N254" s="224"/>
      <c r="O254" s="224" t="s">
        <v>222</v>
      </c>
      <c r="P254" s="224"/>
      <c r="Q254" s="224"/>
      <c r="R254" s="224"/>
      <c r="S254" s="224"/>
      <c r="T254" s="224"/>
      <c r="U254" s="224" t="s">
        <v>227</v>
      </c>
      <c r="V254" s="224"/>
      <c r="W254" s="224"/>
      <c r="X254" s="224"/>
      <c r="Y254" s="224"/>
      <c r="Z254" s="224"/>
      <c r="AA254" s="224"/>
      <c r="AB254" s="224"/>
      <c r="AC254" s="224"/>
      <c r="AD254" s="224"/>
      <c r="AE254" s="224"/>
      <c r="AF254" s="224"/>
      <c r="AG254" s="224"/>
      <c r="AH254" s="224"/>
      <c r="AI254" s="224"/>
      <c r="AJ254" s="224"/>
      <c r="AK254" s="223"/>
      <c r="AL254" s="7"/>
      <c r="AM254" s="7"/>
      <c r="AN254" s="7"/>
      <c r="AO254" s="7"/>
      <c r="AP254" s="7"/>
    </row>
    <row r="255" spans="2:42" ht="16.5" customHeight="1">
      <c r="B255" s="345"/>
      <c r="C255" s="341"/>
      <c r="D255" s="341"/>
      <c r="E255" s="341"/>
      <c r="F255" s="341"/>
      <c r="G255" s="341"/>
      <c r="H255" s="341"/>
      <c r="I255" s="341"/>
      <c r="J255" s="341"/>
      <c r="K255" s="341"/>
      <c r="L255" s="341"/>
      <c r="M255" s="346"/>
      <c r="N255" s="224"/>
      <c r="O255" s="345"/>
      <c r="P255" s="346"/>
      <c r="Q255" s="225"/>
      <c r="R255" s="347"/>
      <c r="S255" s="348"/>
      <c r="T255" s="348"/>
      <c r="U255" s="348"/>
      <c r="V255" s="348"/>
      <c r="W255" s="348"/>
      <c r="X255" s="348"/>
      <c r="Y255" s="348"/>
      <c r="Z255" s="348"/>
      <c r="AA255" s="348"/>
      <c r="AB255" s="348"/>
      <c r="AC255" s="348"/>
      <c r="AD255" s="348"/>
      <c r="AE255" s="348"/>
      <c r="AF255" s="348"/>
      <c r="AG255" s="348"/>
      <c r="AH255" s="348"/>
      <c r="AI255" s="348"/>
      <c r="AJ255" s="349"/>
      <c r="AK255" s="223"/>
      <c r="AL255" s="7"/>
      <c r="AM255" s="7"/>
      <c r="AN255" s="7"/>
      <c r="AO255" s="7"/>
      <c r="AP255" s="7"/>
    </row>
    <row r="256" spans="2:42" ht="16.5" customHeight="1">
      <c r="B256" s="224"/>
      <c r="C256" s="224"/>
      <c r="D256" s="224"/>
      <c r="E256" s="224"/>
      <c r="F256" s="224"/>
      <c r="G256" s="224"/>
      <c r="H256" s="224"/>
      <c r="I256" s="224"/>
      <c r="J256" s="224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4"/>
      <c r="W256" s="224"/>
      <c r="X256" s="224"/>
      <c r="Y256" s="224"/>
      <c r="Z256" s="224"/>
      <c r="AA256" s="224"/>
      <c r="AB256" s="224"/>
      <c r="AC256" s="224"/>
      <c r="AD256" s="224"/>
      <c r="AE256" s="224"/>
      <c r="AF256" s="224"/>
      <c r="AG256" s="224"/>
      <c r="AH256" s="224"/>
      <c r="AI256" s="224"/>
      <c r="AJ256" s="224"/>
      <c r="AK256" s="223"/>
      <c r="AL256" s="7"/>
      <c r="AM256" s="7"/>
      <c r="AN256" s="7"/>
      <c r="AO256" s="7"/>
      <c r="AP256" s="7"/>
    </row>
    <row r="257" spans="2:42" ht="16.5" customHeight="1">
      <c r="B257" s="345"/>
      <c r="C257" s="341"/>
      <c r="D257" s="341"/>
      <c r="E257" s="341"/>
      <c r="F257" s="341"/>
      <c r="G257" s="341"/>
      <c r="H257" s="341"/>
      <c r="I257" s="341"/>
      <c r="J257" s="341"/>
      <c r="K257" s="341"/>
      <c r="L257" s="341"/>
      <c r="M257" s="346"/>
      <c r="N257" s="224"/>
      <c r="O257" s="345"/>
      <c r="P257" s="346"/>
      <c r="Q257" s="225"/>
      <c r="R257" s="347"/>
      <c r="S257" s="348"/>
      <c r="T257" s="348"/>
      <c r="U257" s="348"/>
      <c r="V257" s="348"/>
      <c r="W257" s="348"/>
      <c r="X257" s="348"/>
      <c r="Y257" s="348"/>
      <c r="Z257" s="348"/>
      <c r="AA257" s="348"/>
      <c r="AB257" s="348"/>
      <c r="AC257" s="348"/>
      <c r="AD257" s="348"/>
      <c r="AE257" s="348"/>
      <c r="AF257" s="348"/>
      <c r="AG257" s="348"/>
      <c r="AH257" s="348"/>
      <c r="AI257" s="348"/>
      <c r="AJ257" s="349"/>
      <c r="AK257" s="223"/>
      <c r="AL257" s="7"/>
      <c r="AM257" s="7"/>
      <c r="AN257" s="7"/>
      <c r="AO257" s="7"/>
      <c r="AP257" s="7"/>
    </row>
    <row r="258" spans="2:42" ht="16.5" customHeight="1">
      <c r="B258" s="224"/>
      <c r="C258" s="224"/>
      <c r="D258" s="224"/>
      <c r="E258" s="224"/>
      <c r="F258" s="224"/>
      <c r="G258" s="224"/>
      <c r="H258" s="224"/>
      <c r="I258" s="224"/>
      <c r="J258" s="224"/>
      <c r="K258" s="224"/>
      <c r="L258" s="224"/>
      <c r="M258" s="224"/>
      <c r="N258" s="224"/>
      <c r="O258" s="224"/>
      <c r="P258" s="224"/>
      <c r="Q258" s="224"/>
      <c r="R258" s="224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223"/>
      <c r="AL258" s="7"/>
      <c r="AM258" s="7"/>
      <c r="AN258" s="7"/>
      <c r="AO258" s="7"/>
      <c r="AP258" s="7"/>
    </row>
    <row r="259" spans="2:42" ht="16.5" customHeight="1">
      <c r="B259" s="345"/>
      <c r="C259" s="341"/>
      <c r="D259" s="341"/>
      <c r="E259" s="341"/>
      <c r="F259" s="341"/>
      <c r="G259" s="341"/>
      <c r="H259" s="341"/>
      <c r="I259" s="341"/>
      <c r="J259" s="341"/>
      <c r="K259" s="341"/>
      <c r="L259" s="341"/>
      <c r="M259" s="346"/>
      <c r="N259" s="224"/>
      <c r="O259" s="345"/>
      <c r="P259" s="346"/>
      <c r="Q259" s="225"/>
      <c r="R259" s="347"/>
      <c r="S259" s="348"/>
      <c r="T259" s="348"/>
      <c r="U259" s="348"/>
      <c r="V259" s="348"/>
      <c r="W259" s="348"/>
      <c r="X259" s="348"/>
      <c r="Y259" s="348"/>
      <c r="Z259" s="348"/>
      <c r="AA259" s="348"/>
      <c r="AB259" s="348"/>
      <c r="AC259" s="348"/>
      <c r="AD259" s="348"/>
      <c r="AE259" s="348"/>
      <c r="AF259" s="348"/>
      <c r="AG259" s="348"/>
      <c r="AH259" s="348"/>
      <c r="AI259" s="348"/>
      <c r="AJ259" s="349"/>
      <c r="AK259" s="223"/>
      <c r="AL259" s="7"/>
      <c r="AM259" s="7"/>
      <c r="AN259" s="7"/>
      <c r="AO259" s="7"/>
      <c r="AP259" s="7"/>
    </row>
    <row r="260" spans="2:42" ht="16.5" customHeight="1">
      <c r="B260" s="224"/>
      <c r="C260" s="224"/>
      <c r="D260" s="224"/>
      <c r="E260" s="224"/>
      <c r="F260" s="224"/>
      <c r="G260" s="224"/>
      <c r="H260" s="224"/>
      <c r="I260" s="224"/>
      <c r="J260" s="224"/>
      <c r="K260" s="224"/>
      <c r="L260" s="224"/>
      <c r="M260" s="224"/>
      <c r="N260" s="224"/>
      <c r="O260" s="224"/>
      <c r="P260" s="224"/>
      <c r="Q260" s="224"/>
      <c r="R260" s="224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223"/>
      <c r="AL260" s="7"/>
      <c r="AM260" s="7"/>
      <c r="AN260" s="7"/>
      <c r="AO260" s="7"/>
      <c r="AP260" s="7"/>
    </row>
    <row r="261" spans="2:42" ht="16.5" customHeight="1">
      <c r="B261" s="345"/>
      <c r="C261" s="341"/>
      <c r="D261" s="341"/>
      <c r="E261" s="341"/>
      <c r="F261" s="341"/>
      <c r="G261" s="341"/>
      <c r="H261" s="341"/>
      <c r="I261" s="341"/>
      <c r="J261" s="341"/>
      <c r="K261" s="341"/>
      <c r="L261" s="341"/>
      <c r="M261" s="346"/>
      <c r="N261" s="224"/>
      <c r="O261" s="345"/>
      <c r="P261" s="346"/>
      <c r="Q261" s="225"/>
      <c r="R261" s="347"/>
      <c r="S261" s="348"/>
      <c r="T261" s="348"/>
      <c r="U261" s="348"/>
      <c r="V261" s="348"/>
      <c r="W261" s="348"/>
      <c r="X261" s="348"/>
      <c r="Y261" s="348"/>
      <c r="Z261" s="348"/>
      <c r="AA261" s="348"/>
      <c r="AB261" s="348"/>
      <c r="AC261" s="348"/>
      <c r="AD261" s="348"/>
      <c r="AE261" s="348"/>
      <c r="AF261" s="348"/>
      <c r="AG261" s="348"/>
      <c r="AH261" s="348"/>
      <c r="AI261" s="348"/>
      <c r="AJ261" s="349"/>
      <c r="AK261" s="223"/>
      <c r="AL261" s="7"/>
      <c r="AM261" s="7"/>
      <c r="AN261" s="7"/>
      <c r="AO261" s="7"/>
      <c r="AP261" s="7"/>
    </row>
    <row r="262" spans="2:42" ht="16.5" customHeight="1">
      <c r="B262" s="224"/>
      <c r="C262" s="224"/>
      <c r="D262" s="224"/>
      <c r="E262" s="224"/>
      <c r="F262" s="224"/>
      <c r="G262" s="224"/>
      <c r="H262" s="224"/>
      <c r="I262" s="224"/>
      <c r="J262" s="224"/>
      <c r="K262" s="224"/>
      <c r="L262" s="224"/>
      <c r="M262" s="224"/>
      <c r="N262" s="224"/>
      <c r="O262" s="224"/>
      <c r="P262" s="224"/>
      <c r="Q262" s="224"/>
      <c r="R262" s="224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223"/>
      <c r="AL262" s="7"/>
      <c r="AM262" s="7"/>
      <c r="AN262" s="7"/>
      <c r="AO262" s="7"/>
      <c r="AP262" s="7"/>
    </row>
    <row r="263" spans="2:42" ht="16.5" customHeight="1">
      <c r="B263" s="345"/>
      <c r="C263" s="341"/>
      <c r="D263" s="341"/>
      <c r="E263" s="341"/>
      <c r="F263" s="341"/>
      <c r="G263" s="341"/>
      <c r="H263" s="341"/>
      <c r="I263" s="341"/>
      <c r="J263" s="341"/>
      <c r="K263" s="341"/>
      <c r="L263" s="341"/>
      <c r="M263" s="346"/>
      <c r="N263" s="224"/>
      <c r="O263" s="345"/>
      <c r="P263" s="346"/>
      <c r="Q263" s="225"/>
      <c r="R263" s="347"/>
      <c r="S263" s="348"/>
      <c r="T263" s="348"/>
      <c r="U263" s="348"/>
      <c r="V263" s="348"/>
      <c r="W263" s="348"/>
      <c r="X263" s="348"/>
      <c r="Y263" s="348"/>
      <c r="Z263" s="348"/>
      <c r="AA263" s="348"/>
      <c r="AB263" s="348"/>
      <c r="AC263" s="348"/>
      <c r="AD263" s="348"/>
      <c r="AE263" s="348"/>
      <c r="AF263" s="348"/>
      <c r="AG263" s="348"/>
      <c r="AH263" s="348"/>
      <c r="AI263" s="348"/>
      <c r="AJ263" s="349"/>
      <c r="AK263" s="223"/>
      <c r="AL263" s="7"/>
      <c r="AM263" s="7"/>
      <c r="AN263" s="7"/>
      <c r="AO263" s="7"/>
      <c r="AP263" s="7"/>
    </row>
    <row r="264" spans="2:42" ht="16.5" customHeight="1">
      <c r="B264" s="224"/>
      <c r="C264" s="224"/>
      <c r="D264" s="224"/>
      <c r="E264" s="224"/>
      <c r="F264" s="224"/>
      <c r="G264" s="224"/>
      <c r="H264" s="224"/>
      <c r="I264" s="224"/>
      <c r="J264" s="224"/>
      <c r="K264" s="224"/>
      <c r="L264" s="224"/>
      <c r="M264" s="224"/>
      <c r="N264" s="224"/>
      <c r="O264" s="224"/>
      <c r="P264" s="224"/>
      <c r="Q264" s="224"/>
      <c r="R264" s="224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223"/>
      <c r="AL264" s="7"/>
      <c r="AM264" s="7"/>
      <c r="AN264" s="7"/>
      <c r="AO264" s="7"/>
      <c r="AP264" s="7"/>
    </row>
    <row r="265" spans="2:42" ht="16.5" customHeight="1">
      <c r="B265" s="345"/>
      <c r="C265" s="341"/>
      <c r="D265" s="341"/>
      <c r="E265" s="341"/>
      <c r="F265" s="341"/>
      <c r="G265" s="341"/>
      <c r="H265" s="341"/>
      <c r="I265" s="341"/>
      <c r="J265" s="341"/>
      <c r="K265" s="341"/>
      <c r="L265" s="341"/>
      <c r="M265" s="346"/>
      <c r="N265" s="224"/>
      <c r="O265" s="345"/>
      <c r="P265" s="346"/>
      <c r="Q265" s="225"/>
      <c r="R265" s="347"/>
      <c r="S265" s="348"/>
      <c r="T265" s="348"/>
      <c r="U265" s="348"/>
      <c r="V265" s="348"/>
      <c r="W265" s="348"/>
      <c r="X265" s="348"/>
      <c r="Y265" s="348"/>
      <c r="Z265" s="348"/>
      <c r="AA265" s="348"/>
      <c r="AB265" s="348"/>
      <c r="AC265" s="348"/>
      <c r="AD265" s="348"/>
      <c r="AE265" s="348"/>
      <c r="AF265" s="348"/>
      <c r="AG265" s="348"/>
      <c r="AH265" s="348"/>
      <c r="AI265" s="348"/>
      <c r="AJ265" s="349"/>
      <c r="AK265" s="223"/>
      <c r="AL265" s="7"/>
      <c r="AM265" s="7"/>
      <c r="AN265" s="7"/>
      <c r="AO265" s="7"/>
      <c r="AP265" s="7"/>
    </row>
    <row r="266" spans="2:42" ht="16.5" customHeight="1">
      <c r="B266" s="224"/>
      <c r="C266" s="224"/>
      <c r="D266" s="224"/>
      <c r="E266" s="224"/>
      <c r="F266" s="224"/>
      <c r="G266" s="224"/>
      <c r="H266" s="224"/>
      <c r="I266" s="224"/>
      <c r="J266" s="224"/>
      <c r="K266" s="224"/>
      <c r="L266" s="224"/>
      <c r="M266" s="224"/>
      <c r="N266" s="224"/>
      <c r="O266" s="224"/>
      <c r="P266" s="224"/>
      <c r="Q266" s="224"/>
      <c r="R266" s="224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223"/>
      <c r="AL266" s="7"/>
      <c r="AM266" s="7"/>
      <c r="AN266" s="7"/>
      <c r="AO266" s="7"/>
      <c r="AP266" s="7"/>
    </row>
    <row r="267" spans="2:42" ht="16.5" customHeight="1">
      <c r="B267" s="345"/>
      <c r="C267" s="341"/>
      <c r="D267" s="341"/>
      <c r="E267" s="341"/>
      <c r="F267" s="341"/>
      <c r="G267" s="341"/>
      <c r="H267" s="341"/>
      <c r="I267" s="341"/>
      <c r="J267" s="341"/>
      <c r="K267" s="341"/>
      <c r="L267" s="341"/>
      <c r="M267" s="346"/>
      <c r="N267" s="224"/>
      <c r="O267" s="345"/>
      <c r="P267" s="346"/>
      <c r="Q267" s="225"/>
      <c r="R267" s="347"/>
      <c r="S267" s="348"/>
      <c r="T267" s="348"/>
      <c r="U267" s="348"/>
      <c r="V267" s="348"/>
      <c r="W267" s="348"/>
      <c r="X267" s="348"/>
      <c r="Y267" s="348"/>
      <c r="Z267" s="348"/>
      <c r="AA267" s="348"/>
      <c r="AB267" s="348"/>
      <c r="AC267" s="348"/>
      <c r="AD267" s="348"/>
      <c r="AE267" s="348"/>
      <c r="AF267" s="348"/>
      <c r="AG267" s="348"/>
      <c r="AH267" s="348"/>
      <c r="AI267" s="348"/>
      <c r="AJ267" s="349"/>
      <c r="AK267" s="223"/>
      <c r="AL267" s="7"/>
      <c r="AM267" s="7"/>
      <c r="AN267" s="7"/>
      <c r="AO267" s="7"/>
      <c r="AP267" s="7"/>
    </row>
    <row r="268" spans="2:42" ht="16.5" customHeight="1">
      <c r="B268" s="224"/>
      <c r="C268" s="224"/>
      <c r="D268" s="224"/>
      <c r="E268" s="224"/>
      <c r="F268" s="224"/>
      <c r="G268" s="224"/>
      <c r="H268" s="224"/>
      <c r="I268" s="224"/>
      <c r="J268" s="224"/>
      <c r="K268" s="224"/>
      <c r="L268" s="224"/>
      <c r="M268" s="224"/>
      <c r="N268" s="224"/>
      <c r="O268" s="224"/>
      <c r="P268" s="224"/>
      <c r="Q268" s="224"/>
      <c r="R268" s="224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223"/>
      <c r="AL268" s="7"/>
      <c r="AM268" s="7"/>
      <c r="AN268" s="7"/>
      <c r="AO268" s="7"/>
      <c r="AP268" s="7"/>
    </row>
    <row r="269" spans="2:42" ht="16.5" customHeight="1">
      <c r="B269" s="345"/>
      <c r="C269" s="341"/>
      <c r="D269" s="341"/>
      <c r="E269" s="341"/>
      <c r="F269" s="341"/>
      <c r="G269" s="341"/>
      <c r="H269" s="341"/>
      <c r="I269" s="341"/>
      <c r="J269" s="341"/>
      <c r="K269" s="341"/>
      <c r="L269" s="341"/>
      <c r="M269" s="346"/>
      <c r="N269" s="224"/>
      <c r="O269" s="345"/>
      <c r="P269" s="346"/>
      <c r="Q269" s="225"/>
      <c r="R269" s="347"/>
      <c r="S269" s="348"/>
      <c r="T269" s="348"/>
      <c r="U269" s="348"/>
      <c r="V269" s="348"/>
      <c r="W269" s="348"/>
      <c r="X269" s="348"/>
      <c r="Y269" s="348"/>
      <c r="Z269" s="348"/>
      <c r="AA269" s="348"/>
      <c r="AB269" s="348"/>
      <c r="AC269" s="348"/>
      <c r="AD269" s="348"/>
      <c r="AE269" s="348"/>
      <c r="AF269" s="348"/>
      <c r="AG269" s="348"/>
      <c r="AH269" s="348"/>
      <c r="AI269" s="348"/>
      <c r="AJ269" s="349"/>
      <c r="AK269" s="223"/>
      <c r="AL269" s="7"/>
      <c r="AM269" s="7"/>
      <c r="AN269" s="7"/>
      <c r="AO269" s="7"/>
      <c r="AP269" s="7"/>
    </row>
    <row r="270" spans="2:42" ht="16.5" customHeight="1">
      <c r="B270" s="224"/>
      <c r="C270" s="224"/>
      <c r="D270" s="224"/>
      <c r="E270" s="224"/>
      <c r="F270" s="224"/>
      <c r="G270" s="224"/>
      <c r="H270" s="224"/>
      <c r="I270" s="224"/>
      <c r="J270" s="224"/>
      <c r="K270" s="224"/>
      <c r="L270" s="224"/>
      <c r="M270" s="224"/>
      <c r="N270" s="224"/>
      <c r="O270" s="224"/>
      <c r="P270" s="224"/>
      <c r="Q270" s="224"/>
      <c r="R270" s="224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223"/>
      <c r="AL270" s="7"/>
      <c r="AM270" s="7"/>
      <c r="AN270" s="7"/>
      <c r="AO270" s="7"/>
      <c r="AP270" s="7"/>
    </row>
    <row r="271" spans="2:42" ht="16.5" customHeight="1">
      <c r="B271" s="224"/>
      <c r="C271" s="224"/>
      <c r="D271" s="224"/>
      <c r="E271" s="224"/>
      <c r="F271" s="224"/>
      <c r="G271" s="224"/>
      <c r="H271" s="224"/>
      <c r="I271" s="224"/>
      <c r="J271" s="224"/>
      <c r="K271" s="224"/>
      <c r="L271" s="224"/>
      <c r="M271" s="224"/>
      <c r="N271" s="224"/>
      <c r="O271" s="224"/>
      <c r="P271" s="224"/>
      <c r="Q271" s="224"/>
      <c r="R271" s="224"/>
      <c r="S271" s="224"/>
      <c r="T271" s="224"/>
      <c r="U271" s="224"/>
      <c r="V271" s="224"/>
      <c r="W271" s="224"/>
      <c r="X271" s="224"/>
      <c r="Y271" s="224"/>
      <c r="Z271" s="224"/>
      <c r="AA271" s="224"/>
      <c r="AB271" s="224"/>
      <c r="AC271" s="224"/>
      <c r="AD271" s="224"/>
      <c r="AE271" s="224"/>
      <c r="AF271" s="224"/>
      <c r="AG271" s="224"/>
      <c r="AH271" s="224"/>
      <c r="AI271" s="224"/>
      <c r="AJ271" s="224"/>
      <c r="AK271" s="223"/>
      <c r="AL271" s="7"/>
      <c r="AM271" s="7"/>
      <c r="AN271" s="7"/>
      <c r="AO271" s="7"/>
      <c r="AP271" s="7"/>
    </row>
    <row r="272" spans="2:42" ht="16.5" customHeight="1">
      <c r="B272" s="224" t="s">
        <v>228</v>
      </c>
      <c r="C272" s="224"/>
      <c r="D272" s="224"/>
      <c r="E272" s="224"/>
      <c r="F272" s="224"/>
      <c r="G272" s="224"/>
      <c r="H272" s="224"/>
      <c r="I272" s="224"/>
      <c r="J272" s="224"/>
      <c r="K272" s="224"/>
      <c r="L272" s="224"/>
      <c r="M272" s="224"/>
      <c r="N272" s="224"/>
      <c r="O272" s="224"/>
      <c r="P272" s="224"/>
      <c r="Q272" s="224"/>
      <c r="R272" s="224"/>
      <c r="S272" s="224"/>
      <c r="T272" s="224"/>
      <c r="U272" s="224"/>
      <c r="V272" s="224"/>
      <c r="W272" s="224"/>
      <c r="X272" s="224"/>
      <c r="Y272" s="224"/>
      <c r="Z272" s="224"/>
      <c r="AA272" s="224"/>
      <c r="AB272" s="224"/>
      <c r="AC272" s="224"/>
      <c r="AD272" s="224"/>
      <c r="AE272" s="224"/>
      <c r="AF272" s="224"/>
      <c r="AG272" s="224"/>
      <c r="AH272" s="224"/>
      <c r="AI272" s="224"/>
      <c r="AJ272" s="224"/>
      <c r="AK272" s="223"/>
      <c r="AL272" s="7"/>
      <c r="AM272" s="7"/>
      <c r="AN272" s="7"/>
      <c r="AO272" s="7"/>
      <c r="AP272" s="7"/>
    </row>
    <row r="273" spans="2:42" ht="16.5" customHeight="1">
      <c r="B273" s="224" t="s">
        <v>226</v>
      </c>
      <c r="C273" s="224"/>
      <c r="D273" s="224"/>
      <c r="E273" s="224"/>
      <c r="F273" s="224"/>
      <c r="G273" s="224"/>
      <c r="H273" s="224"/>
      <c r="I273" s="224"/>
      <c r="J273" s="224"/>
      <c r="K273" s="224"/>
      <c r="L273" s="224"/>
      <c r="M273" s="224"/>
      <c r="N273" s="224"/>
      <c r="O273" s="224" t="s">
        <v>222</v>
      </c>
      <c r="P273" s="224"/>
      <c r="Q273" s="224"/>
      <c r="R273" s="224"/>
      <c r="S273" s="224"/>
      <c r="T273" s="224"/>
      <c r="U273" s="224" t="s">
        <v>227</v>
      </c>
      <c r="V273" s="224"/>
      <c r="W273" s="224"/>
      <c r="X273" s="224"/>
      <c r="Y273" s="224"/>
      <c r="Z273" s="224"/>
      <c r="AA273" s="224"/>
      <c r="AB273" s="224"/>
      <c r="AC273" s="224"/>
      <c r="AD273" s="224"/>
      <c r="AE273" s="224"/>
      <c r="AF273" s="224"/>
      <c r="AG273" s="224"/>
      <c r="AH273" s="224"/>
      <c r="AI273" s="224"/>
      <c r="AJ273" s="224"/>
      <c r="AK273" s="223"/>
      <c r="AL273" s="7"/>
      <c r="AM273" s="7"/>
      <c r="AN273" s="7"/>
      <c r="AO273" s="7"/>
      <c r="AP273" s="7"/>
    </row>
    <row r="274" spans="2:42" ht="16.5" customHeight="1">
      <c r="B274" s="345"/>
      <c r="C274" s="341"/>
      <c r="D274" s="341"/>
      <c r="E274" s="341"/>
      <c r="F274" s="341"/>
      <c r="G274" s="341"/>
      <c r="H274" s="341"/>
      <c r="I274" s="341"/>
      <c r="J274" s="341"/>
      <c r="K274" s="341"/>
      <c r="L274" s="341"/>
      <c r="M274" s="346"/>
      <c r="N274" s="224"/>
      <c r="O274" s="345"/>
      <c r="P274" s="346"/>
      <c r="Q274" s="225"/>
      <c r="R274" s="347"/>
      <c r="S274" s="348"/>
      <c r="T274" s="348"/>
      <c r="U274" s="348"/>
      <c r="V274" s="348"/>
      <c r="W274" s="348"/>
      <c r="X274" s="348"/>
      <c r="Y274" s="348"/>
      <c r="Z274" s="348"/>
      <c r="AA274" s="348"/>
      <c r="AB274" s="348"/>
      <c r="AC274" s="348"/>
      <c r="AD274" s="348"/>
      <c r="AE274" s="348"/>
      <c r="AF274" s="348"/>
      <c r="AG274" s="348"/>
      <c r="AH274" s="348"/>
      <c r="AI274" s="348"/>
      <c r="AJ274" s="349"/>
      <c r="AK274" s="224"/>
      <c r="AL274" s="224"/>
      <c r="AM274" s="224"/>
      <c r="AN274" s="7"/>
      <c r="AO274" s="7"/>
      <c r="AP274" s="7"/>
    </row>
    <row r="275" spans="2:42" ht="16.5" customHeight="1">
      <c r="B275" s="224"/>
      <c r="C275" s="224"/>
      <c r="D275" s="224"/>
      <c r="E275" s="224"/>
      <c r="F275" s="224"/>
      <c r="G275" s="224"/>
      <c r="H275" s="224"/>
      <c r="I275" s="224"/>
      <c r="J275" s="224"/>
      <c r="K275" s="224"/>
      <c r="L275" s="224"/>
      <c r="M275" s="224"/>
      <c r="N275" s="224"/>
      <c r="O275" s="224"/>
      <c r="P275" s="224"/>
      <c r="Q275" s="224"/>
      <c r="R275" s="224"/>
      <c r="S275" s="224"/>
      <c r="T275" s="224"/>
      <c r="U275" s="224"/>
      <c r="V275" s="224"/>
      <c r="W275" s="224"/>
      <c r="X275" s="224"/>
      <c r="Y275" s="224"/>
      <c r="Z275" s="224"/>
      <c r="AA275" s="224"/>
      <c r="AB275" s="224"/>
      <c r="AC275" s="224"/>
      <c r="AD275" s="224"/>
      <c r="AE275" s="224"/>
      <c r="AF275" s="224"/>
      <c r="AG275" s="224"/>
      <c r="AH275" s="224"/>
      <c r="AI275" s="224"/>
      <c r="AJ275" s="224"/>
      <c r="AK275" s="224"/>
      <c r="AL275" s="224"/>
      <c r="AM275" s="224"/>
      <c r="AN275" s="7"/>
      <c r="AO275" s="7"/>
      <c r="AP275" s="7"/>
    </row>
    <row r="276" spans="2:42" ht="16.5" customHeight="1">
      <c r="B276" s="345"/>
      <c r="C276" s="341"/>
      <c r="D276" s="341"/>
      <c r="E276" s="341"/>
      <c r="F276" s="341"/>
      <c r="G276" s="341"/>
      <c r="H276" s="341"/>
      <c r="I276" s="341"/>
      <c r="J276" s="341"/>
      <c r="K276" s="341"/>
      <c r="L276" s="341"/>
      <c r="M276" s="346"/>
      <c r="N276" s="224"/>
      <c r="O276" s="345"/>
      <c r="P276" s="346"/>
      <c r="Q276" s="225"/>
      <c r="R276" s="347"/>
      <c r="S276" s="348"/>
      <c r="T276" s="348"/>
      <c r="U276" s="348"/>
      <c r="V276" s="348"/>
      <c r="W276" s="348"/>
      <c r="X276" s="348"/>
      <c r="Y276" s="348"/>
      <c r="Z276" s="348"/>
      <c r="AA276" s="348"/>
      <c r="AB276" s="348"/>
      <c r="AC276" s="348"/>
      <c r="AD276" s="348"/>
      <c r="AE276" s="348"/>
      <c r="AF276" s="348"/>
      <c r="AG276" s="348"/>
      <c r="AH276" s="348"/>
      <c r="AI276" s="348"/>
      <c r="AJ276" s="349"/>
      <c r="AK276" s="224"/>
      <c r="AL276" s="224"/>
      <c r="AM276" s="224"/>
      <c r="AN276" s="7"/>
      <c r="AO276" s="7"/>
      <c r="AP276" s="7"/>
    </row>
    <row r="277" spans="2:42" ht="16.5" customHeight="1">
      <c r="B277" s="224"/>
      <c r="C277" s="224"/>
      <c r="D277" s="224"/>
      <c r="E277" s="224"/>
      <c r="F277" s="224"/>
      <c r="G277" s="224"/>
      <c r="H277" s="224"/>
      <c r="I277" s="224"/>
      <c r="J277" s="224"/>
      <c r="K277" s="224"/>
      <c r="L277" s="224"/>
      <c r="M277" s="224"/>
      <c r="N277" s="224"/>
      <c r="O277" s="224"/>
      <c r="P277" s="224"/>
      <c r="Q277" s="224"/>
      <c r="R277" s="224"/>
      <c r="S277" s="224"/>
      <c r="T277" s="224"/>
      <c r="U277" s="224"/>
      <c r="V277" s="224"/>
      <c r="W277" s="224"/>
      <c r="X277" s="224"/>
      <c r="Y277" s="224"/>
      <c r="Z277" s="224"/>
      <c r="AA277" s="224"/>
      <c r="AB277" s="224"/>
      <c r="AC277" s="224"/>
      <c r="AD277" s="224"/>
      <c r="AE277" s="224"/>
      <c r="AF277" s="224"/>
      <c r="AG277" s="224"/>
      <c r="AH277" s="224"/>
      <c r="AI277" s="224"/>
      <c r="AJ277" s="224"/>
      <c r="AK277" s="224"/>
      <c r="AL277" s="224"/>
      <c r="AM277" s="224"/>
      <c r="AN277" s="7"/>
      <c r="AO277" s="7"/>
      <c r="AP277" s="7"/>
    </row>
    <row r="278" spans="2:42" ht="16.5" customHeight="1">
      <c r="B278" s="345"/>
      <c r="C278" s="341"/>
      <c r="D278" s="341"/>
      <c r="E278" s="341"/>
      <c r="F278" s="341"/>
      <c r="G278" s="341"/>
      <c r="H278" s="341"/>
      <c r="I278" s="341"/>
      <c r="J278" s="341"/>
      <c r="K278" s="341"/>
      <c r="L278" s="341"/>
      <c r="M278" s="346"/>
      <c r="N278" s="224"/>
      <c r="O278" s="345"/>
      <c r="P278" s="346"/>
      <c r="Q278" s="225"/>
      <c r="R278" s="347"/>
      <c r="S278" s="348"/>
      <c r="T278" s="348"/>
      <c r="U278" s="348"/>
      <c r="V278" s="348"/>
      <c r="W278" s="348"/>
      <c r="X278" s="348"/>
      <c r="Y278" s="348"/>
      <c r="Z278" s="348"/>
      <c r="AA278" s="348"/>
      <c r="AB278" s="348"/>
      <c r="AC278" s="348"/>
      <c r="AD278" s="348"/>
      <c r="AE278" s="348"/>
      <c r="AF278" s="348"/>
      <c r="AG278" s="348"/>
      <c r="AH278" s="348"/>
      <c r="AI278" s="348"/>
      <c r="AJ278" s="349"/>
      <c r="AK278" s="224"/>
      <c r="AL278" s="224"/>
      <c r="AM278" s="224"/>
      <c r="AN278" s="7"/>
      <c r="AO278" s="7"/>
      <c r="AP278" s="7"/>
    </row>
    <row r="279" spans="2:42" ht="16.5" customHeight="1">
      <c r="B279" s="224"/>
      <c r="C279" s="224"/>
      <c r="D279" s="224"/>
      <c r="E279" s="224"/>
      <c r="F279" s="224"/>
      <c r="G279" s="224"/>
      <c r="H279" s="224"/>
      <c r="I279" s="224"/>
      <c r="J279" s="224"/>
      <c r="K279" s="224"/>
      <c r="L279" s="224"/>
      <c r="M279" s="224"/>
      <c r="N279" s="224"/>
      <c r="O279" s="224"/>
      <c r="P279" s="224"/>
      <c r="Q279" s="224"/>
      <c r="R279" s="224"/>
      <c r="S279" s="224"/>
      <c r="T279" s="224"/>
      <c r="U279" s="224"/>
      <c r="V279" s="224"/>
      <c r="W279" s="224"/>
      <c r="X279" s="224"/>
      <c r="Y279" s="224"/>
      <c r="Z279" s="224"/>
      <c r="AA279" s="224"/>
      <c r="AB279" s="224"/>
      <c r="AC279" s="224"/>
      <c r="AD279" s="224"/>
      <c r="AE279" s="224"/>
      <c r="AF279" s="224"/>
      <c r="AG279" s="224"/>
      <c r="AH279" s="224"/>
      <c r="AI279" s="224"/>
      <c r="AJ279" s="224"/>
      <c r="AK279" s="224"/>
      <c r="AL279" s="224"/>
      <c r="AM279" s="224"/>
      <c r="AN279" s="7"/>
      <c r="AO279" s="7"/>
      <c r="AP279" s="7"/>
    </row>
    <row r="280" spans="2:42" ht="16.5" customHeight="1">
      <c r="B280" s="345"/>
      <c r="C280" s="341"/>
      <c r="D280" s="341"/>
      <c r="E280" s="341"/>
      <c r="F280" s="341"/>
      <c r="G280" s="341"/>
      <c r="H280" s="341"/>
      <c r="I280" s="341"/>
      <c r="J280" s="341"/>
      <c r="K280" s="341"/>
      <c r="L280" s="341"/>
      <c r="M280" s="346"/>
      <c r="N280" s="224"/>
      <c r="O280" s="345"/>
      <c r="P280" s="346"/>
      <c r="Q280" s="225"/>
      <c r="R280" s="347"/>
      <c r="S280" s="348"/>
      <c r="T280" s="348"/>
      <c r="U280" s="348"/>
      <c r="V280" s="348"/>
      <c r="W280" s="348"/>
      <c r="X280" s="348"/>
      <c r="Y280" s="348"/>
      <c r="Z280" s="348"/>
      <c r="AA280" s="348"/>
      <c r="AB280" s="348"/>
      <c r="AC280" s="348"/>
      <c r="AD280" s="348"/>
      <c r="AE280" s="348"/>
      <c r="AF280" s="348"/>
      <c r="AG280" s="348"/>
      <c r="AH280" s="348"/>
      <c r="AI280" s="348"/>
      <c r="AJ280" s="349"/>
      <c r="AK280" s="224"/>
      <c r="AL280" s="224"/>
      <c r="AM280" s="224"/>
      <c r="AN280" s="7"/>
      <c r="AO280" s="7"/>
      <c r="AP280" s="7"/>
    </row>
    <row r="281" spans="2:42" ht="16.5" customHeight="1">
      <c r="B281" s="224"/>
      <c r="C281" s="224"/>
      <c r="D281" s="224"/>
      <c r="E281" s="224"/>
      <c r="F281" s="224"/>
      <c r="G281" s="224"/>
      <c r="H281" s="224"/>
      <c r="I281" s="224"/>
      <c r="J281" s="224"/>
      <c r="K281" s="224"/>
      <c r="L281" s="224"/>
      <c r="M281" s="224"/>
      <c r="N281" s="224"/>
      <c r="O281" s="224"/>
      <c r="P281" s="224"/>
      <c r="Q281" s="224"/>
      <c r="R281" s="224"/>
      <c r="S281" s="224"/>
      <c r="T281" s="224"/>
      <c r="U281" s="224"/>
      <c r="V281" s="224"/>
      <c r="W281" s="224"/>
      <c r="X281" s="224"/>
      <c r="Y281" s="224"/>
      <c r="Z281" s="224"/>
      <c r="AA281" s="224"/>
      <c r="AB281" s="224"/>
      <c r="AC281" s="224"/>
      <c r="AD281" s="224"/>
      <c r="AE281" s="224"/>
      <c r="AF281" s="224"/>
      <c r="AG281" s="224"/>
      <c r="AH281" s="224"/>
      <c r="AI281" s="224"/>
      <c r="AJ281" s="224"/>
      <c r="AK281" s="224"/>
      <c r="AL281" s="224"/>
      <c r="AM281" s="224"/>
      <c r="AN281" s="7"/>
      <c r="AO281" s="7"/>
      <c r="AP281" s="7"/>
    </row>
    <row r="282" spans="2:42" ht="16.5" customHeight="1">
      <c r="B282" s="345"/>
      <c r="C282" s="341"/>
      <c r="D282" s="341"/>
      <c r="E282" s="341"/>
      <c r="F282" s="341"/>
      <c r="G282" s="341"/>
      <c r="H282" s="341"/>
      <c r="I282" s="341"/>
      <c r="J282" s="341"/>
      <c r="K282" s="341"/>
      <c r="L282" s="341"/>
      <c r="M282" s="346"/>
      <c r="N282" s="224"/>
      <c r="O282" s="345"/>
      <c r="P282" s="346"/>
      <c r="Q282" s="225"/>
      <c r="R282" s="347"/>
      <c r="S282" s="348"/>
      <c r="T282" s="348"/>
      <c r="U282" s="348"/>
      <c r="V282" s="348"/>
      <c r="W282" s="348"/>
      <c r="X282" s="348"/>
      <c r="Y282" s="348"/>
      <c r="Z282" s="348"/>
      <c r="AA282" s="348"/>
      <c r="AB282" s="348"/>
      <c r="AC282" s="348"/>
      <c r="AD282" s="348"/>
      <c r="AE282" s="348"/>
      <c r="AF282" s="348"/>
      <c r="AG282" s="348"/>
      <c r="AH282" s="348"/>
      <c r="AI282" s="348"/>
      <c r="AJ282" s="349"/>
      <c r="AK282" s="224"/>
      <c r="AL282" s="224"/>
      <c r="AM282" s="224"/>
      <c r="AN282" s="7"/>
      <c r="AO282" s="7"/>
      <c r="AP282" s="7"/>
    </row>
    <row r="283" spans="2:42" ht="16.5" customHeight="1">
      <c r="B283" s="224"/>
      <c r="C283" s="224"/>
      <c r="D283" s="224"/>
      <c r="E283" s="224"/>
      <c r="F283" s="224"/>
      <c r="G283" s="224"/>
      <c r="H283" s="224"/>
      <c r="I283" s="224"/>
      <c r="J283" s="224"/>
      <c r="K283" s="224"/>
      <c r="L283" s="224"/>
      <c r="M283" s="224"/>
      <c r="N283" s="224"/>
      <c r="O283" s="224"/>
      <c r="P283" s="224"/>
      <c r="Q283" s="224"/>
      <c r="R283" s="224"/>
      <c r="S283" s="224"/>
      <c r="T283" s="224"/>
      <c r="U283" s="224"/>
      <c r="V283" s="224"/>
      <c r="W283" s="224"/>
      <c r="X283" s="224"/>
      <c r="Y283" s="224"/>
      <c r="Z283" s="224"/>
      <c r="AA283" s="224"/>
      <c r="AB283" s="224"/>
      <c r="AC283" s="224"/>
      <c r="AD283" s="224"/>
      <c r="AE283" s="224"/>
      <c r="AF283" s="224"/>
      <c r="AG283" s="224"/>
      <c r="AH283" s="224"/>
      <c r="AI283" s="224"/>
      <c r="AJ283" s="224"/>
      <c r="AK283" s="224"/>
      <c r="AL283" s="224"/>
      <c r="AM283" s="224"/>
      <c r="AN283" s="7"/>
      <c r="AO283" s="7"/>
      <c r="AP283" s="7"/>
    </row>
    <row r="284" spans="2:42" ht="16.5" customHeight="1">
      <c r="B284" s="224" t="s">
        <v>50</v>
      </c>
      <c r="C284" s="224"/>
      <c r="D284" s="224"/>
      <c r="E284" s="224"/>
      <c r="F284" s="224"/>
      <c r="G284" s="224"/>
      <c r="H284" s="224"/>
      <c r="I284" s="224"/>
      <c r="J284" s="224"/>
      <c r="K284" s="224"/>
      <c r="L284" s="224"/>
      <c r="M284" s="224"/>
      <c r="N284" s="224"/>
      <c r="O284" s="224" t="s">
        <v>229</v>
      </c>
      <c r="P284" s="224"/>
      <c r="Q284" s="224"/>
      <c r="R284" s="224"/>
      <c r="S284" s="224"/>
      <c r="T284" s="224"/>
      <c r="U284" s="224"/>
      <c r="V284" s="224"/>
      <c r="W284" s="224"/>
      <c r="X284" s="224"/>
      <c r="Y284" s="224"/>
      <c r="Z284" s="224"/>
      <c r="AA284" s="224"/>
      <c r="AB284" s="224"/>
      <c r="AC284" s="224"/>
      <c r="AD284" s="224"/>
      <c r="AE284" s="224"/>
      <c r="AF284" s="224"/>
      <c r="AG284" s="224"/>
      <c r="AH284" s="224"/>
      <c r="AI284" s="224"/>
      <c r="AJ284" s="224"/>
      <c r="AK284" s="223"/>
      <c r="AL284" s="7"/>
      <c r="AM284" s="7"/>
      <c r="AN284" s="7"/>
      <c r="AO284" s="7"/>
      <c r="AP284" s="7"/>
    </row>
    <row r="285" spans="2:42" ht="16.5" customHeight="1">
      <c r="B285" s="345"/>
      <c r="C285" s="341"/>
      <c r="D285" s="341"/>
      <c r="E285" s="341"/>
      <c r="F285" s="341"/>
      <c r="G285" s="341"/>
      <c r="H285" s="341"/>
      <c r="I285" s="341"/>
      <c r="J285" s="341"/>
      <c r="K285" s="341"/>
      <c r="L285" s="341"/>
      <c r="M285" s="346"/>
      <c r="N285" s="224"/>
      <c r="O285" s="345"/>
      <c r="P285" s="346"/>
      <c r="Q285" s="225"/>
      <c r="R285" s="347"/>
      <c r="S285" s="348"/>
      <c r="T285" s="348"/>
      <c r="U285" s="348"/>
      <c r="V285" s="348"/>
      <c r="W285" s="348"/>
      <c r="X285" s="348"/>
      <c r="Y285" s="348"/>
      <c r="Z285" s="348"/>
      <c r="AA285" s="348"/>
      <c r="AB285" s="348"/>
      <c r="AC285" s="348"/>
      <c r="AD285" s="348"/>
      <c r="AE285" s="348"/>
      <c r="AF285" s="348"/>
      <c r="AG285" s="348"/>
      <c r="AH285" s="348"/>
      <c r="AI285" s="348"/>
      <c r="AJ285" s="349"/>
      <c r="AK285" s="223"/>
      <c r="AL285" s="7"/>
      <c r="AM285" s="7"/>
      <c r="AN285" s="7"/>
      <c r="AO285" s="7"/>
      <c r="AP285" s="7"/>
    </row>
    <row r="286" spans="2:42" ht="16.5" customHeight="1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224"/>
      <c r="O286" s="225"/>
      <c r="P286" s="225"/>
      <c r="Q286" s="225"/>
      <c r="R286" s="225"/>
      <c r="S286" s="225"/>
      <c r="T286" s="224"/>
      <c r="U286" s="225"/>
      <c r="V286" s="225"/>
      <c r="W286" s="225"/>
      <c r="X286" s="225"/>
      <c r="Y286" s="225"/>
      <c r="Z286" s="224"/>
      <c r="AA286" s="225"/>
      <c r="AB286" s="225"/>
      <c r="AC286" s="225"/>
      <c r="AD286" s="225"/>
      <c r="AE286" s="225"/>
      <c r="AF286" s="224"/>
      <c r="AG286" s="224"/>
      <c r="AH286" s="224"/>
      <c r="AI286" s="224"/>
      <c r="AJ286" s="224"/>
      <c r="AK286" s="223"/>
      <c r="AL286" s="7"/>
      <c r="AM286" s="7"/>
      <c r="AN286" s="7"/>
      <c r="AO286" s="7"/>
      <c r="AP286" s="7"/>
    </row>
    <row r="287" spans="2:42" ht="16.5" customHeight="1">
      <c r="B287" s="345"/>
      <c r="C287" s="341"/>
      <c r="D287" s="341"/>
      <c r="E287" s="341"/>
      <c r="F287" s="341"/>
      <c r="G287" s="341"/>
      <c r="H287" s="341"/>
      <c r="I287" s="341"/>
      <c r="J287" s="341"/>
      <c r="K287" s="341"/>
      <c r="L287" s="341"/>
      <c r="M287" s="346"/>
      <c r="N287" s="224"/>
      <c r="O287" s="345"/>
      <c r="P287" s="346"/>
      <c r="Q287" s="224"/>
      <c r="R287" s="347"/>
      <c r="S287" s="348"/>
      <c r="T287" s="348"/>
      <c r="U287" s="348"/>
      <c r="V287" s="348"/>
      <c r="W287" s="348"/>
      <c r="X287" s="348"/>
      <c r="Y287" s="348"/>
      <c r="Z287" s="348"/>
      <c r="AA287" s="348"/>
      <c r="AB287" s="348"/>
      <c r="AC287" s="348"/>
      <c r="AD287" s="348"/>
      <c r="AE287" s="348"/>
      <c r="AF287" s="348"/>
      <c r="AG287" s="348"/>
      <c r="AH287" s="348"/>
      <c r="AI287" s="348"/>
      <c r="AJ287" s="349"/>
      <c r="AK287" s="223"/>
      <c r="AL287" s="7"/>
      <c r="AM287" s="7"/>
      <c r="AN287" s="7"/>
      <c r="AO287" s="7"/>
      <c r="AP287" s="7"/>
    </row>
    <row r="288" spans="2:42" ht="16.5" customHeight="1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224"/>
      <c r="O288" s="7"/>
      <c r="P288" s="7"/>
      <c r="Q288" s="225"/>
      <c r="R288" s="225"/>
      <c r="S288" s="225"/>
      <c r="T288" s="224"/>
      <c r="U288" s="225"/>
      <c r="V288" s="225"/>
      <c r="W288" s="225"/>
      <c r="X288" s="225"/>
      <c r="Y288" s="225"/>
      <c r="Z288" s="224"/>
      <c r="AA288" s="225"/>
      <c r="AB288" s="225"/>
      <c r="AC288" s="225"/>
      <c r="AD288" s="225"/>
      <c r="AE288" s="225"/>
      <c r="AF288" s="224"/>
      <c r="AG288" s="224"/>
      <c r="AH288" s="224"/>
      <c r="AI288" s="224"/>
      <c r="AJ288" s="224"/>
      <c r="AK288" s="223"/>
      <c r="AL288" s="7"/>
      <c r="AM288" s="7"/>
      <c r="AN288" s="7"/>
      <c r="AO288" s="7"/>
      <c r="AP288" s="7"/>
    </row>
    <row r="289" spans="2:42" ht="16.5" customHeight="1">
      <c r="B289" s="345"/>
      <c r="C289" s="341"/>
      <c r="D289" s="341"/>
      <c r="E289" s="341"/>
      <c r="F289" s="341"/>
      <c r="G289" s="341"/>
      <c r="H289" s="341"/>
      <c r="I289" s="341"/>
      <c r="J289" s="341"/>
      <c r="K289" s="341"/>
      <c r="L289" s="341"/>
      <c r="M289" s="346"/>
      <c r="N289" s="224"/>
      <c r="O289" s="345"/>
      <c r="P289" s="346"/>
      <c r="Q289" s="225"/>
      <c r="R289" s="347"/>
      <c r="S289" s="348"/>
      <c r="T289" s="348"/>
      <c r="U289" s="348"/>
      <c r="V289" s="348"/>
      <c r="W289" s="348"/>
      <c r="X289" s="348"/>
      <c r="Y289" s="348"/>
      <c r="Z289" s="348"/>
      <c r="AA289" s="348"/>
      <c r="AB289" s="348"/>
      <c r="AC289" s="348"/>
      <c r="AD289" s="348"/>
      <c r="AE289" s="348"/>
      <c r="AF289" s="348"/>
      <c r="AG289" s="348"/>
      <c r="AH289" s="348"/>
      <c r="AI289" s="348"/>
      <c r="AJ289" s="349"/>
      <c r="AK289" s="223"/>
      <c r="AL289" s="7"/>
      <c r="AM289" s="7"/>
      <c r="AN289" s="7"/>
      <c r="AO289" s="7"/>
      <c r="AP289" s="7"/>
    </row>
    <row r="290" spans="2:42" ht="16.5" customHeight="1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224"/>
      <c r="O290" s="224"/>
      <c r="P290" s="224"/>
      <c r="Q290" s="224"/>
      <c r="R290" s="224"/>
      <c r="S290" s="224"/>
      <c r="T290" s="224"/>
      <c r="U290" s="224"/>
      <c r="V290" s="224"/>
      <c r="W290" s="224"/>
      <c r="X290" s="224"/>
      <c r="Y290" s="224"/>
      <c r="Z290" s="224"/>
      <c r="AA290" s="224"/>
      <c r="AB290" s="224"/>
      <c r="AC290" s="224"/>
      <c r="AD290" s="224"/>
      <c r="AE290" s="224"/>
      <c r="AF290" s="224"/>
      <c r="AG290" s="224"/>
      <c r="AH290" s="224"/>
      <c r="AI290" s="224"/>
      <c r="AJ290" s="224"/>
      <c r="AK290" s="223"/>
      <c r="AL290" s="7"/>
      <c r="AM290" s="7"/>
      <c r="AN290" s="7"/>
      <c r="AO290" s="7"/>
      <c r="AP290" s="7"/>
    </row>
    <row r="291" spans="1:37" ht="16.5" customHeight="1">
      <c r="A291" s="1"/>
      <c r="N291" s="227"/>
      <c r="Q291" s="228"/>
      <c r="R291" s="228"/>
      <c r="S291" s="228"/>
      <c r="T291" s="227"/>
      <c r="U291" s="228"/>
      <c r="V291" s="228"/>
      <c r="W291" s="228"/>
      <c r="X291" s="228"/>
      <c r="Y291" s="228"/>
      <c r="Z291" s="227"/>
      <c r="AA291" s="228"/>
      <c r="AB291" s="228"/>
      <c r="AC291" s="228"/>
      <c r="AD291" s="228"/>
      <c r="AE291" s="228"/>
      <c r="AF291" s="227"/>
      <c r="AG291" s="227"/>
      <c r="AH291" s="227"/>
      <c r="AI291" s="227"/>
      <c r="AJ291" s="227"/>
      <c r="AK291" s="42"/>
    </row>
    <row r="292" spans="1:37" ht="16.5" customHeight="1">
      <c r="A292" s="1"/>
      <c r="N292" s="227"/>
      <c r="O292" s="228"/>
      <c r="P292" s="228"/>
      <c r="Q292" s="228"/>
      <c r="R292" s="228"/>
      <c r="S292" s="228"/>
      <c r="T292" s="227"/>
      <c r="U292" s="228"/>
      <c r="V292" s="228"/>
      <c r="W292" s="228"/>
      <c r="X292" s="228"/>
      <c r="Y292" s="228"/>
      <c r="Z292" s="227"/>
      <c r="AA292" s="228"/>
      <c r="AB292" s="228"/>
      <c r="AC292" s="228"/>
      <c r="AD292" s="228"/>
      <c r="AE292" s="228"/>
      <c r="AF292" s="227"/>
      <c r="AG292" s="227"/>
      <c r="AH292" s="227"/>
      <c r="AI292" s="227"/>
      <c r="AJ292" s="227"/>
      <c r="AK292" s="42"/>
    </row>
    <row r="293" ht="16.5" customHeight="1">
      <c r="A293" s="1"/>
    </row>
    <row r="294" ht="16.5" customHeight="1">
      <c r="A294" s="1"/>
    </row>
    <row r="295" ht="16.5" customHeight="1">
      <c r="A295" s="1"/>
    </row>
    <row r="296" ht="16.5" customHeight="1">
      <c r="A296" s="1"/>
    </row>
    <row r="297" ht="16.5" customHeight="1">
      <c r="A297" s="1"/>
    </row>
    <row r="298" ht="16.5" customHeight="1">
      <c r="A298" s="1"/>
    </row>
    <row r="299" ht="16.5" customHeight="1">
      <c r="A299" s="1"/>
    </row>
    <row r="300" ht="16.5" customHeight="1">
      <c r="A300" s="1"/>
    </row>
    <row r="301" ht="16.5" customHeight="1">
      <c r="A301" s="1"/>
    </row>
    <row r="302" ht="16.5" customHeight="1">
      <c r="A302" s="1"/>
    </row>
    <row r="303" ht="16.5" customHeight="1">
      <c r="A303" s="1"/>
    </row>
    <row r="304" ht="16.5" customHeight="1">
      <c r="A304" s="1"/>
    </row>
    <row r="305" ht="16.5" customHeight="1">
      <c r="A305" s="1"/>
    </row>
    <row r="306" ht="16.5" customHeight="1">
      <c r="A306" s="1"/>
    </row>
    <row r="307" ht="16.5" customHeight="1">
      <c r="A307" s="1"/>
    </row>
    <row r="308" ht="16.5" customHeight="1">
      <c r="A308" s="1"/>
    </row>
    <row r="309" ht="16.5" customHeight="1">
      <c r="A309" s="1"/>
    </row>
    <row r="310" ht="16.5" customHeight="1">
      <c r="A310" s="1"/>
    </row>
    <row r="311" ht="16.5" customHeight="1">
      <c r="A311" s="1"/>
    </row>
    <row r="312" ht="16.5" customHeight="1">
      <c r="A312" s="1"/>
    </row>
    <row r="313" ht="16.5" customHeight="1">
      <c r="A313" s="1"/>
    </row>
    <row r="314" ht="16.5" customHeight="1">
      <c r="A314" s="1"/>
    </row>
    <row r="315" ht="16.5" customHeight="1">
      <c r="A315" s="1"/>
    </row>
    <row r="316" ht="16.5" customHeight="1">
      <c r="A316" s="1"/>
    </row>
    <row r="317" ht="16.5" customHeight="1">
      <c r="A317" s="1"/>
    </row>
    <row r="318" ht="16.5" customHeight="1">
      <c r="A318" s="1"/>
    </row>
    <row r="319" ht="16.5" customHeight="1">
      <c r="A319" s="1"/>
    </row>
    <row r="320" ht="16.5" customHeight="1">
      <c r="A320" s="1"/>
    </row>
    <row r="321" ht="16.5" customHeight="1">
      <c r="A321" s="1"/>
    </row>
    <row r="322" ht="16.5" customHeight="1">
      <c r="A322" s="1"/>
    </row>
    <row r="323" ht="16.5" customHeight="1">
      <c r="A323" s="1"/>
    </row>
    <row r="324" ht="16.5" customHeight="1">
      <c r="A324" s="1"/>
    </row>
    <row r="325" ht="16.5" customHeight="1">
      <c r="A325" s="1"/>
    </row>
    <row r="326" ht="16.5" customHeight="1">
      <c r="A326" s="1"/>
    </row>
    <row r="327" ht="16.5" customHeight="1">
      <c r="A327" s="1"/>
    </row>
    <row r="328" ht="16.5" customHeight="1">
      <c r="A328" s="1"/>
    </row>
    <row r="329" ht="16.5" customHeight="1">
      <c r="A329" s="1"/>
    </row>
    <row r="330" ht="16.5" customHeight="1">
      <c r="A330" s="1"/>
    </row>
    <row r="331" ht="16.5" customHeight="1">
      <c r="A331" s="1"/>
    </row>
    <row r="332" ht="16.5" customHeight="1">
      <c r="A332" s="1"/>
    </row>
    <row r="333" ht="16.5" customHeight="1">
      <c r="A333" s="1"/>
    </row>
    <row r="334" ht="16.5" customHeight="1">
      <c r="A334" s="1"/>
    </row>
    <row r="335" ht="16.5" customHeight="1">
      <c r="A335" s="1"/>
    </row>
    <row r="336" ht="16.5" customHeight="1">
      <c r="A336" s="1"/>
    </row>
    <row r="337" ht="16.5" customHeight="1">
      <c r="A337" s="1"/>
    </row>
    <row r="338" ht="16.5" customHeight="1">
      <c r="A338" s="1"/>
    </row>
    <row r="339" ht="16.5" customHeight="1">
      <c r="A339" s="1"/>
    </row>
    <row r="340" ht="16.5" customHeight="1">
      <c r="A340" s="1"/>
    </row>
    <row r="341" ht="16.5" customHeight="1">
      <c r="A341" s="1"/>
    </row>
    <row r="342" ht="16.5" customHeight="1">
      <c r="A342" s="1"/>
    </row>
    <row r="343" ht="16.5" customHeight="1">
      <c r="A343" s="1"/>
    </row>
    <row r="344" ht="16.5" customHeight="1">
      <c r="A344" s="1"/>
    </row>
    <row r="345" ht="16.5" customHeight="1">
      <c r="A345" s="1"/>
    </row>
    <row r="346" ht="16.5" customHeight="1">
      <c r="A346" s="1"/>
    </row>
    <row r="347" ht="16.5" customHeight="1">
      <c r="A347" s="1"/>
    </row>
    <row r="348" ht="16.5" customHeight="1">
      <c r="A348" s="1"/>
    </row>
    <row r="349" ht="16.5" customHeight="1">
      <c r="A349" s="1"/>
    </row>
    <row r="350" ht="16.5" customHeight="1">
      <c r="A350" s="1"/>
    </row>
    <row r="351" ht="16.5" customHeight="1">
      <c r="A351" s="1"/>
    </row>
    <row r="352" ht="16.5" customHeight="1">
      <c r="A352" s="1"/>
    </row>
    <row r="353" ht="16.5" customHeight="1">
      <c r="A353" s="1"/>
    </row>
    <row r="354" ht="16.5" customHeight="1">
      <c r="A354" s="1"/>
    </row>
    <row r="355" ht="16.5" customHeight="1">
      <c r="A355" s="1"/>
    </row>
    <row r="356" ht="16.5" customHeight="1">
      <c r="A356" s="1"/>
    </row>
    <row r="357" ht="16.5" customHeight="1">
      <c r="A357" s="1"/>
    </row>
    <row r="358" ht="16.5" customHeight="1">
      <c r="A358" s="1"/>
    </row>
    <row r="359" ht="16.5" customHeight="1">
      <c r="A359" s="1"/>
    </row>
    <row r="360" ht="16.5" customHeight="1">
      <c r="A360" s="1"/>
    </row>
    <row r="361" ht="16.5" customHeight="1">
      <c r="A361" s="1"/>
    </row>
    <row r="362" ht="16.5" customHeight="1">
      <c r="A362" s="1"/>
    </row>
    <row r="363" ht="16.5" customHeight="1">
      <c r="A363" s="1"/>
    </row>
    <row r="364" ht="16.5" customHeight="1">
      <c r="A364" s="1"/>
    </row>
    <row r="365" ht="16.5" customHeight="1">
      <c r="A365" s="1"/>
    </row>
    <row r="366" ht="16.5" customHeight="1">
      <c r="A366" s="1"/>
    </row>
    <row r="367" ht="16.5" customHeight="1">
      <c r="A367" s="1"/>
    </row>
    <row r="368" ht="16.5" customHeight="1">
      <c r="A368" s="1"/>
    </row>
    <row r="369" ht="16.5" customHeight="1">
      <c r="A369" s="1"/>
    </row>
    <row r="370" ht="16.5" customHeight="1">
      <c r="A370" s="1"/>
    </row>
    <row r="371" ht="16.5" customHeight="1">
      <c r="A371" s="1"/>
    </row>
    <row r="372" ht="16.5" customHeight="1">
      <c r="A372" s="1"/>
    </row>
    <row r="373" ht="16.5" customHeight="1">
      <c r="A373" s="1"/>
    </row>
    <row r="374" ht="16.5" customHeight="1">
      <c r="A374" s="1"/>
    </row>
    <row r="375" ht="16.5" customHeight="1">
      <c r="A375" s="1"/>
    </row>
    <row r="376" ht="16.5" customHeight="1">
      <c r="A376" s="1"/>
    </row>
    <row r="377" ht="16.5" customHeight="1">
      <c r="A377" s="1"/>
    </row>
    <row r="378" ht="16.5" customHeight="1">
      <c r="A378" s="1"/>
    </row>
    <row r="379" ht="16.5" customHeight="1">
      <c r="A379" s="1"/>
    </row>
    <row r="380" ht="16.5" customHeight="1">
      <c r="A380" s="1"/>
    </row>
    <row r="381" ht="16.5" customHeight="1">
      <c r="A381" s="1"/>
    </row>
    <row r="382" ht="16.5" customHeight="1">
      <c r="A382" s="1"/>
    </row>
    <row r="383" ht="16.5" customHeight="1">
      <c r="A383" s="1"/>
    </row>
    <row r="384" ht="16.5" customHeight="1">
      <c r="A384" s="1"/>
    </row>
    <row r="385" ht="16.5" customHeight="1">
      <c r="A385" s="1"/>
    </row>
    <row r="386" ht="16.5" customHeight="1">
      <c r="A386" s="1"/>
    </row>
    <row r="387" ht="16.5" customHeight="1">
      <c r="A387" s="1"/>
    </row>
    <row r="388" ht="16.5" customHeight="1">
      <c r="A388" s="1"/>
    </row>
    <row r="389" ht="16.5" customHeight="1">
      <c r="A389" s="1"/>
    </row>
    <row r="390" ht="16.5" customHeight="1">
      <c r="A390" s="1"/>
    </row>
    <row r="391" ht="16.5" customHeight="1">
      <c r="A391" s="1"/>
    </row>
    <row r="392" ht="16.5" customHeight="1">
      <c r="A392" s="1"/>
    </row>
    <row r="393" ht="16.5" customHeight="1">
      <c r="A393" s="1"/>
    </row>
    <row r="394" ht="16.5" customHeight="1">
      <c r="A394" s="1"/>
    </row>
    <row r="395" ht="16.5" customHeight="1">
      <c r="A395" s="1"/>
    </row>
    <row r="396" ht="16.5" customHeight="1">
      <c r="A396" s="1"/>
    </row>
    <row r="397" ht="16.5" customHeight="1">
      <c r="A397" s="1"/>
    </row>
    <row r="398" ht="16.5" customHeight="1">
      <c r="A398" s="1"/>
    </row>
    <row r="399" ht="16.5" customHeight="1">
      <c r="A399" s="1"/>
    </row>
    <row r="400" ht="16.5" customHeight="1">
      <c r="A400" s="1"/>
    </row>
    <row r="401" ht="16.5" customHeight="1">
      <c r="A401" s="1"/>
    </row>
    <row r="402" ht="16.5" customHeight="1">
      <c r="A402" s="1"/>
    </row>
    <row r="403" ht="16.5" customHeight="1">
      <c r="A403" s="1"/>
    </row>
    <row r="404" ht="16.5" customHeight="1">
      <c r="A404" s="1"/>
    </row>
    <row r="405" ht="16.5" customHeight="1">
      <c r="A405" s="1"/>
    </row>
    <row r="406" ht="16.5" customHeight="1">
      <c r="A406" s="1"/>
    </row>
    <row r="407" ht="16.5" customHeight="1">
      <c r="A407" s="1"/>
    </row>
    <row r="408" ht="16.5" customHeight="1">
      <c r="A408" s="1"/>
    </row>
    <row r="409" ht="16.5" customHeight="1">
      <c r="A409" s="1"/>
    </row>
    <row r="410" ht="16.5" customHeight="1">
      <c r="A410" s="1"/>
    </row>
    <row r="411" ht="16.5" customHeight="1">
      <c r="A411" s="1"/>
    </row>
    <row r="412" ht="16.5" customHeight="1">
      <c r="A412" s="1"/>
    </row>
    <row r="413" ht="16.5" customHeight="1">
      <c r="A413" s="1"/>
    </row>
    <row r="414" ht="16.5" customHeight="1">
      <c r="A414" s="1"/>
    </row>
    <row r="415" ht="16.5" customHeight="1">
      <c r="A415" s="1"/>
    </row>
    <row r="416" ht="16.5" customHeight="1">
      <c r="A416" s="1"/>
    </row>
    <row r="417" ht="16.5" customHeight="1">
      <c r="A417" s="1"/>
    </row>
    <row r="418" ht="16.5" customHeight="1">
      <c r="A418" s="1"/>
    </row>
    <row r="419" ht="16.5" customHeight="1">
      <c r="A419" s="1"/>
    </row>
    <row r="420" ht="16.5" customHeight="1">
      <c r="A420" s="1"/>
    </row>
    <row r="421" ht="16.5" customHeight="1">
      <c r="A421" s="1"/>
    </row>
    <row r="422" ht="16.5" customHeight="1">
      <c r="A422" s="1"/>
    </row>
    <row r="423" ht="16.5" customHeight="1">
      <c r="A423" s="1"/>
    </row>
    <row r="424" ht="16.5" customHeight="1">
      <c r="A424" s="1"/>
    </row>
    <row r="425" ht="16.5" customHeight="1">
      <c r="A425" s="1"/>
    </row>
    <row r="426" ht="16.5" customHeight="1">
      <c r="A426" s="1"/>
    </row>
    <row r="427" ht="16.5" customHeight="1">
      <c r="A427" s="1"/>
    </row>
    <row r="428" ht="16.5" customHeight="1">
      <c r="A428" s="1"/>
    </row>
    <row r="429" ht="16.5" customHeight="1">
      <c r="A429" s="1"/>
    </row>
    <row r="430" ht="16.5" customHeight="1">
      <c r="A430" s="1"/>
    </row>
    <row r="431" ht="16.5" customHeight="1">
      <c r="A431" s="1"/>
    </row>
    <row r="432" ht="16.5" customHeight="1">
      <c r="A432" s="1"/>
    </row>
    <row r="433" ht="16.5" customHeight="1">
      <c r="A433" s="1"/>
    </row>
    <row r="434" ht="16.5" customHeight="1">
      <c r="A434" s="1"/>
    </row>
    <row r="435" ht="16.5" customHeight="1">
      <c r="A435" s="1"/>
    </row>
    <row r="436" ht="16.5" customHeight="1">
      <c r="A436" s="1"/>
    </row>
    <row r="437" ht="16.5" customHeight="1">
      <c r="A437" s="1"/>
    </row>
    <row r="438" ht="16.5" customHeight="1">
      <c r="A438" s="1"/>
    </row>
    <row r="439" ht="16.5" customHeight="1">
      <c r="A439" s="1"/>
    </row>
    <row r="440" ht="16.5" customHeight="1">
      <c r="A440" s="1"/>
    </row>
    <row r="441" ht="16.5" customHeight="1">
      <c r="A441" s="1"/>
    </row>
    <row r="442" ht="16.5" customHeight="1">
      <c r="A442" s="1"/>
    </row>
    <row r="443" ht="16.5" customHeight="1">
      <c r="A443" s="1"/>
    </row>
    <row r="444" ht="16.5" customHeight="1">
      <c r="A444" s="1"/>
    </row>
    <row r="445" ht="16.5" customHeight="1">
      <c r="A445" s="1"/>
    </row>
    <row r="446" ht="16.5" customHeight="1">
      <c r="A446" s="1"/>
    </row>
    <row r="447" ht="16.5" customHeight="1">
      <c r="A447" s="1"/>
    </row>
    <row r="448" ht="16.5" customHeight="1">
      <c r="A448" s="1"/>
    </row>
    <row r="449" ht="16.5" customHeight="1">
      <c r="A449" s="1"/>
    </row>
    <row r="450" ht="16.5" customHeight="1">
      <c r="A450" s="1"/>
    </row>
    <row r="451" ht="16.5" customHeight="1">
      <c r="A451" s="1"/>
    </row>
    <row r="452" ht="16.5" customHeight="1">
      <c r="A452" s="1"/>
    </row>
    <row r="453" ht="16.5" customHeight="1">
      <c r="A453" s="1"/>
    </row>
    <row r="454" ht="16.5" customHeight="1">
      <c r="A454" s="1"/>
    </row>
    <row r="455" ht="16.5" customHeight="1">
      <c r="A455" s="1"/>
    </row>
    <row r="456" ht="16.5" customHeight="1">
      <c r="A456" s="1"/>
    </row>
    <row r="457" ht="16.5" customHeight="1">
      <c r="A457" s="1"/>
    </row>
    <row r="458" ht="16.5" customHeight="1">
      <c r="A458" s="1"/>
    </row>
    <row r="459" ht="16.5" customHeight="1">
      <c r="A459" s="1"/>
    </row>
    <row r="460" ht="16.5" customHeight="1">
      <c r="A460" s="1"/>
    </row>
    <row r="461" ht="16.5" customHeight="1">
      <c r="A461" s="1"/>
    </row>
    <row r="462" ht="16.5" customHeight="1">
      <c r="A462" s="1"/>
    </row>
    <row r="463" ht="16.5" customHeight="1">
      <c r="A463" s="1"/>
    </row>
    <row r="464" ht="16.5" customHeight="1">
      <c r="A464" s="1"/>
    </row>
    <row r="465" ht="16.5" customHeight="1">
      <c r="A465" s="1"/>
    </row>
    <row r="466" ht="16.5" customHeight="1">
      <c r="A466" s="1"/>
    </row>
    <row r="467" ht="16.5" customHeight="1">
      <c r="A467" s="1"/>
    </row>
    <row r="468" ht="16.5" customHeight="1">
      <c r="A468" s="1"/>
    </row>
    <row r="469" ht="16.5" customHeight="1">
      <c r="A469" s="1"/>
    </row>
    <row r="470" ht="16.5" customHeight="1">
      <c r="A470" s="1"/>
    </row>
    <row r="471" ht="16.5" customHeight="1">
      <c r="A471" s="1"/>
    </row>
    <row r="472" ht="16.5" customHeight="1">
      <c r="A472" s="1"/>
    </row>
    <row r="473" ht="16.5" customHeight="1">
      <c r="A473" s="1"/>
    </row>
    <row r="474" ht="16.5" customHeight="1">
      <c r="A474" s="1"/>
    </row>
    <row r="475" ht="16.5" customHeight="1">
      <c r="A475" s="1"/>
    </row>
    <row r="476" ht="16.5" customHeight="1">
      <c r="A476" s="1"/>
    </row>
    <row r="477" ht="16.5" customHeight="1">
      <c r="A477" s="1"/>
    </row>
    <row r="478" ht="16.5" customHeight="1">
      <c r="A478" s="1"/>
    </row>
    <row r="479" ht="16.5" customHeight="1">
      <c r="A479" s="1"/>
    </row>
    <row r="480" ht="16.5" customHeight="1">
      <c r="A480" s="1"/>
    </row>
    <row r="481" ht="16.5" customHeight="1">
      <c r="A481" s="1"/>
    </row>
    <row r="482" ht="16.5" customHeight="1">
      <c r="A482" s="1"/>
    </row>
    <row r="483" ht="16.5" customHeight="1">
      <c r="A483" s="1"/>
    </row>
    <row r="484" ht="16.5" customHeight="1">
      <c r="A484" s="1"/>
    </row>
    <row r="485" ht="16.5" customHeight="1">
      <c r="A485" s="1"/>
    </row>
    <row r="486" ht="16.5" customHeight="1">
      <c r="A486" s="1"/>
    </row>
    <row r="487" ht="16.5" customHeight="1">
      <c r="A487" s="1"/>
    </row>
    <row r="488" ht="16.5" customHeight="1">
      <c r="A488" s="1"/>
    </row>
    <row r="489" ht="16.5" customHeight="1">
      <c r="A489" s="1"/>
    </row>
    <row r="490" ht="16.5" customHeight="1">
      <c r="A490" s="1"/>
    </row>
    <row r="491" ht="16.5" customHeight="1">
      <c r="A491" s="1"/>
    </row>
    <row r="492" ht="16.5" customHeight="1">
      <c r="A492" s="1"/>
    </row>
    <row r="493" ht="16.5" customHeight="1">
      <c r="A493" s="1"/>
    </row>
    <row r="494" ht="16.5" customHeight="1">
      <c r="A494" s="1"/>
    </row>
    <row r="495" ht="16.5" customHeight="1">
      <c r="A495" s="1"/>
    </row>
    <row r="496" ht="16.5" customHeight="1">
      <c r="A496" s="1"/>
    </row>
    <row r="497" ht="16.5" customHeight="1">
      <c r="A497" s="1"/>
    </row>
    <row r="498" ht="16.5" customHeight="1">
      <c r="A498" s="1"/>
    </row>
    <row r="499" ht="16.5" customHeight="1">
      <c r="A499" s="1"/>
    </row>
    <row r="500" ht="16.5" customHeight="1">
      <c r="A500" s="1"/>
    </row>
    <row r="501" ht="16.5" customHeight="1">
      <c r="A501" s="1"/>
    </row>
    <row r="502" ht="16.5" customHeight="1">
      <c r="A502" s="1"/>
    </row>
    <row r="503" ht="16.5" customHeight="1">
      <c r="A503" s="1"/>
    </row>
    <row r="504" ht="16.5" customHeight="1">
      <c r="A504" s="1"/>
    </row>
    <row r="505" ht="16.5" customHeight="1">
      <c r="A505" s="1"/>
    </row>
    <row r="506" ht="16.5" customHeight="1">
      <c r="A506" s="1"/>
    </row>
    <row r="507" ht="16.5" customHeight="1">
      <c r="A507" s="1"/>
    </row>
    <row r="508" ht="16.5" customHeight="1">
      <c r="A508" s="1"/>
    </row>
    <row r="509" ht="16.5" customHeight="1">
      <c r="A509" s="1"/>
    </row>
    <row r="510" ht="16.5" customHeight="1">
      <c r="A510" s="1"/>
    </row>
    <row r="511" ht="16.5" customHeight="1">
      <c r="A511" s="1"/>
    </row>
    <row r="512" ht="16.5" customHeight="1">
      <c r="A512" s="1"/>
    </row>
    <row r="513" ht="16.5" customHeight="1">
      <c r="A513" s="1"/>
    </row>
    <row r="514" ht="16.5" customHeight="1">
      <c r="A514" s="1"/>
    </row>
    <row r="515" ht="16.5" customHeight="1">
      <c r="A515" s="1"/>
    </row>
    <row r="516" ht="16.5" customHeight="1">
      <c r="A516" s="1"/>
    </row>
    <row r="517" ht="16.5" customHeight="1">
      <c r="A517" s="1"/>
    </row>
    <row r="518" ht="16.5" customHeight="1">
      <c r="A518" s="1"/>
    </row>
    <row r="519" ht="16.5" customHeight="1">
      <c r="A519" s="1"/>
    </row>
    <row r="520" ht="16.5" customHeight="1">
      <c r="A520" s="1"/>
    </row>
    <row r="521" ht="16.5" customHeight="1">
      <c r="A521" s="1"/>
    </row>
    <row r="522" ht="16.5" customHeight="1">
      <c r="A522" s="1"/>
    </row>
    <row r="523" ht="16.5" customHeight="1">
      <c r="A523" s="1"/>
    </row>
    <row r="524" ht="16.5" customHeight="1">
      <c r="A524" s="1"/>
    </row>
    <row r="525" ht="16.5" customHeight="1">
      <c r="A525" s="1"/>
    </row>
    <row r="526" ht="16.5" customHeight="1">
      <c r="A526" s="1"/>
    </row>
    <row r="527" ht="16.5" customHeight="1">
      <c r="A527" s="1"/>
    </row>
    <row r="528" ht="16.5" customHeight="1">
      <c r="A528" s="1"/>
    </row>
    <row r="529" ht="16.5" customHeight="1">
      <c r="A529" s="1"/>
    </row>
    <row r="530" ht="16.5" customHeight="1">
      <c r="A530" s="1"/>
    </row>
    <row r="531" ht="16.5" customHeight="1">
      <c r="A531" s="1"/>
    </row>
    <row r="532" ht="16.5" customHeight="1">
      <c r="A532" s="1"/>
    </row>
    <row r="533" ht="16.5" customHeight="1">
      <c r="A533" s="1"/>
    </row>
    <row r="534" ht="16.5" customHeight="1">
      <c r="A534" s="1"/>
    </row>
    <row r="535" ht="16.5" customHeight="1">
      <c r="A535" s="1"/>
    </row>
    <row r="536" ht="16.5" customHeight="1">
      <c r="A536" s="1"/>
    </row>
    <row r="537" ht="16.5" customHeight="1">
      <c r="A537" s="1"/>
    </row>
    <row r="538" ht="16.5" customHeight="1">
      <c r="A538" s="1"/>
    </row>
    <row r="539" ht="16.5" customHeight="1">
      <c r="A539" s="1"/>
    </row>
    <row r="540" ht="16.5" customHeight="1">
      <c r="A540" s="1"/>
    </row>
    <row r="541" ht="16.5" customHeight="1">
      <c r="A541" s="1"/>
    </row>
    <row r="542" ht="16.5" customHeight="1">
      <c r="A542" s="1"/>
    </row>
    <row r="543" ht="16.5" customHeight="1">
      <c r="A543" s="1"/>
    </row>
    <row r="544" ht="16.5" customHeight="1">
      <c r="A544" s="1"/>
    </row>
    <row r="545" ht="16.5" customHeight="1">
      <c r="A545" s="1"/>
    </row>
    <row r="546" ht="16.5" customHeight="1">
      <c r="A546" s="1"/>
    </row>
    <row r="547" ht="16.5" customHeight="1">
      <c r="A547" s="1"/>
    </row>
    <row r="548" ht="16.5" customHeight="1">
      <c r="A548" s="1"/>
    </row>
    <row r="549" ht="16.5" customHeight="1">
      <c r="A549" s="1"/>
    </row>
    <row r="550" ht="16.5" customHeight="1">
      <c r="A550" s="1"/>
    </row>
    <row r="551" ht="16.5" customHeight="1">
      <c r="A551" s="1"/>
    </row>
    <row r="552" ht="16.5" customHeight="1">
      <c r="A552" s="1"/>
    </row>
    <row r="553" ht="16.5" customHeight="1">
      <c r="A553" s="1"/>
    </row>
    <row r="554" ht="16.5" customHeight="1">
      <c r="A554" s="1"/>
    </row>
    <row r="555" ht="16.5" customHeight="1">
      <c r="A555" s="1"/>
    </row>
    <row r="556" ht="16.5" customHeight="1">
      <c r="A556" s="1"/>
    </row>
    <row r="557" ht="16.5" customHeight="1">
      <c r="A557" s="1"/>
    </row>
    <row r="558" ht="16.5" customHeight="1">
      <c r="A558" s="1"/>
    </row>
    <row r="559" ht="16.5" customHeight="1">
      <c r="A559" s="1"/>
    </row>
    <row r="560" ht="16.5" customHeight="1">
      <c r="A560" s="1"/>
    </row>
    <row r="561" ht="16.5" customHeight="1">
      <c r="A561" s="1"/>
    </row>
    <row r="562" ht="16.5" customHeight="1">
      <c r="A562" s="1"/>
    </row>
    <row r="563" ht="16.5" customHeight="1">
      <c r="A563" s="1"/>
    </row>
    <row r="564" ht="16.5" customHeight="1">
      <c r="A564" s="1"/>
    </row>
    <row r="565" ht="16.5" customHeight="1">
      <c r="A565" s="1"/>
    </row>
    <row r="566" ht="16.5" customHeight="1">
      <c r="A566" s="1"/>
    </row>
    <row r="567" ht="16.5" customHeight="1">
      <c r="A567" s="1"/>
    </row>
    <row r="568" ht="16.5" customHeight="1">
      <c r="A568" s="1"/>
    </row>
    <row r="569" ht="16.5" customHeight="1">
      <c r="A569" s="1"/>
    </row>
    <row r="570" ht="16.5" customHeight="1">
      <c r="A570" s="1"/>
    </row>
    <row r="571" ht="16.5" customHeight="1">
      <c r="A571" s="1"/>
    </row>
    <row r="572" ht="16.5" customHeight="1">
      <c r="A572" s="1"/>
    </row>
    <row r="573" ht="16.5" customHeight="1">
      <c r="A573" s="1"/>
    </row>
    <row r="574" ht="16.5" customHeight="1">
      <c r="A574" s="1"/>
    </row>
    <row r="575" ht="16.5" customHeight="1">
      <c r="A575" s="1"/>
    </row>
    <row r="576" ht="16.5" customHeight="1">
      <c r="A576" s="1"/>
    </row>
    <row r="577" ht="16.5" customHeight="1">
      <c r="A577" s="1"/>
    </row>
    <row r="578" ht="16.5" customHeight="1">
      <c r="A578" s="1"/>
    </row>
    <row r="579" ht="16.5" customHeight="1">
      <c r="A579" s="1"/>
    </row>
    <row r="580" ht="16.5" customHeight="1">
      <c r="A580" s="1"/>
    </row>
    <row r="581" ht="16.5" customHeight="1">
      <c r="A581" s="1"/>
    </row>
    <row r="582" ht="16.5" customHeight="1">
      <c r="A582" s="1"/>
    </row>
    <row r="583" ht="16.5" customHeight="1">
      <c r="A583" s="1"/>
    </row>
    <row r="584" ht="16.5" customHeight="1">
      <c r="A584" s="1"/>
    </row>
    <row r="585" ht="16.5" customHeight="1">
      <c r="A585" s="1"/>
    </row>
    <row r="586" ht="16.5" customHeight="1">
      <c r="A586" s="1"/>
    </row>
    <row r="587" ht="16.5" customHeight="1">
      <c r="A587" s="1"/>
    </row>
    <row r="588" ht="16.5" customHeight="1">
      <c r="A588" s="1"/>
    </row>
    <row r="589" ht="16.5" customHeight="1">
      <c r="A589" s="1"/>
    </row>
    <row r="590" ht="16.5" customHeight="1">
      <c r="A590" s="1"/>
    </row>
    <row r="591" ht="16.5" customHeight="1">
      <c r="A591" s="1"/>
    </row>
    <row r="592" ht="16.5" customHeight="1">
      <c r="A592" s="1"/>
    </row>
    <row r="593" ht="16.5" customHeight="1">
      <c r="A593" s="1"/>
    </row>
    <row r="594" ht="16.5" customHeight="1">
      <c r="A594" s="1"/>
    </row>
    <row r="595" ht="16.5" customHeight="1">
      <c r="A595" s="1"/>
    </row>
    <row r="596" ht="16.5" customHeight="1">
      <c r="A596" s="1"/>
    </row>
    <row r="597" ht="16.5" customHeight="1">
      <c r="A597" s="1"/>
    </row>
    <row r="598" ht="16.5" customHeight="1">
      <c r="A598" s="1"/>
    </row>
    <row r="599" ht="16.5" customHeight="1">
      <c r="A599" s="1"/>
    </row>
    <row r="600" ht="16.5" customHeight="1">
      <c r="A600" s="1"/>
    </row>
    <row r="601" ht="16.5" customHeight="1">
      <c r="A601" s="1"/>
    </row>
    <row r="602" ht="16.5" customHeight="1">
      <c r="A602" s="1"/>
    </row>
    <row r="603" ht="16.5" customHeight="1">
      <c r="A603" s="1"/>
    </row>
    <row r="604" ht="16.5" customHeight="1">
      <c r="A604" s="1"/>
    </row>
    <row r="605" ht="16.5" customHeight="1">
      <c r="A605" s="1"/>
    </row>
    <row r="606" ht="16.5" customHeight="1">
      <c r="A606" s="1"/>
    </row>
    <row r="607" ht="16.5" customHeight="1">
      <c r="A607" s="1"/>
    </row>
    <row r="608" ht="16.5" customHeight="1">
      <c r="A608" s="1"/>
    </row>
    <row r="609" ht="16.5" customHeight="1">
      <c r="A609" s="1"/>
    </row>
    <row r="610" ht="16.5" customHeight="1">
      <c r="A610" s="1"/>
    </row>
    <row r="611" ht="16.5" customHeight="1">
      <c r="A611" s="1"/>
    </row>
    <row r="612" ht="16.5" customHeight="1">
      <c r="A612" s="1"/>
    </row>
    <row r="613" ht="16.5" customHeight="1">
      <c r="A613" s="1"/>
    </row>
    <row r="614" ht="16.5" customHeight="1">
      <c r="A614" s="1"/>
    </row>
    <row r="615" ht="16.5" customHeight="1">
      <c r="A615" s="1"/>
    </row>
    <row r="616" ht="16.5" customHeight="1">
      <c r="A616" s="1"/>
    </row>
    <row r="617" ht="16.5" customHeight="1">
      <c r="A617" s="1"/>
    </row>
    <row r="618" ht="16.5" customHeight="1">
      <c r="A618" s="1"/>
    </row>
    <row r="619" ht="16.5" customHeight="1">
      <c r="A619" s="1"/>
    </row>
    <row r="620" ht="16.5" customHeight="1">
      <c r="A620" s="1"/>
    </row>
    <row r="621" ht="16.5" customHeight="1">
      <c r="A621" s="1"/>
    </row>
    <row r="622" ht="16.5" customHeight="1">
      <c r="A622" s="1"/>
    </row>
    <row r="623" ht="16.5" customHeight="1">
      <c r="A623" s="1"/>
    </row>
    <row r="624" ht="16.5" customHeight="1">
      <c r="A624" s="1"/>
    </row>
    <row r="625" ht="16.5" customHeight="1">
      <c r="A625" s="1"/>
    </row>
    <row r="626" ht="16.5" customHeight="1">
      <c r="A626" s="1"/>
    </row>
    <row r="627" ht="16.5" customHeight="1">
      <c r="A627" s="1"/>
    </row>
    <row r="628" ht="16.5" customHeight="1">
      <c r="A628" s="1"/>
    </row>
    <row r="629" ht="16.5" customHeight="1">
      <c r="A629" s="1"/>
    </row>
    <row r="630" ht="16.5" customHeight="1">
      <c r="A630" s="1"/>
    </row>
    <row r="631" ht="16.5" customHeight="1">
      <c r="A631" s="1"/>
    </row>
    <row r="632" ht="16.5" customHeight="1">
      <c r="A632" s="1"/>
    </row>
    <row r="633" ht="16.5" customHeight="1">
      <c r="A633" s="1"/>
    </row>
    <row r="634" ht="16.5" customHeight="1">
      <c r="A634" s="1"/>
    </row>
    <row r="635" ht="16.5" customHeight="1">
      <c r="A635" s="1"/>
    </row>
    <row r="636" ht="16.5" customHeight="1">
      <c r="A636" s="1"/>
    </row>
    <row r="637" ht="16.5" customHeight="1">
      <c r="A637" s="1"/>
    </row>
    <row r="638" ht="16.5" customHeight="1">
      <c r="A638" s="1"/>
    </row>
    <row r="639" ht="16.5" customHeight="1">
      <c r="A639" s="1"/>
    </row>
    <row r="640" ht="16.5" customHeight="1">
      <c r="A640" s="1"/>
    </row>
    <row r="641" ht="16.5" customHeight="1">
      <c r="A641" s="1"/>
    </row>
    <row r="642" ht="16.5" customHeight="1">
      <c r="A642" s="1"/>
    </row>
    <row r="643" ht="16.5" customHeight="1">
      <c r="A643" s="1"/>
    </row>
    <row r="644" ht="16.5" customHeight="1">
      <c r="A644" s="1"/>
    </row>
    <row r="645" ht="16.5" customHeight="1">
      <c r="A645" s="1"/>
    </row>
    <row r="646" ht="16.5" customHeight="1">
      <c r="A646" s="1"/>
    </row>
    <row r="647" ht="16.5" customHeight="1">
      <c r="A647" s="1"/>
    </row>
    <row r="648" ht="16.5" customHeight="1">
      <c r="A648" s="1"/>
    </row>
    <row r="649" ht="16.5" customHeight="1">
      <c r="A649" s="1"/>
    </row>
    <row r="650" ht="16.5" customHeight="1">
      <c r="A650" s="1"/>
    </row>
    <row r="651" ht="16.5" customHeight="1">
      <c r="A651" s="1"/>
    </row>
    <row r="652" ht="16.5" customHeight="1">
      <c r="A652" s="1"/>
    </row>
    <row r="653" ht="16.5" customHeight="1">
      <c r="A653" s="1"/>
    </row>
    <row r="654" ht="16.5" customHeight="1">
      <c r="A654" s="1"/>
    </row>
    <row r="655" ht="16.5" customHeight="1">
      <c r="A655" s="1"/>
    </row>
    <row r="656" ht="16.5" customHeight="1">
      <c r="A656" s="1"/>
    </row>
    <row r="657" ht="16.5" customHeight="1">
      <c r="A657" s="1"/>
    </row>
    <row r="658" ht="16.5" customHeight="1">
      <c r="A658" s="1"/>
    </row>
    <row r="659" ht="16.5" customHeight="1">
      <c r="A659" s="1"/>
    </row>
    <row r="660" ht="16.5" customHeight="1">
      <c r="A660" s="1"/>
    </row>
    <row r="661" ht="16.5" customHeight="1">
      <c r="A661" s="1"/>
    </row>
    <row r="662" ht="16.5" customHeight="1">
      <c r="A662" s="1"/>
    </row>
    <row r="663" ht="16.5" customHeight="1">
      <c r="A663" s="1"/>
    </row>
    <row r="664" ht="16.5" customHeight="1">
      <c r="A664" s="1"/>
    </row>
    <row r="665" ht="16.5" customHeight="1">
      <c r="A665" s="1"/>
    </row>
    <row r="666" ht="16.5" customHeight="1">
      <c r="A666" s="1"/>
    </row>
    <row r="667" ht="16.5" customHeight="1">
      <c r="A667" s="1"/>
    </row>
    <row r="668" ht="16.5" customHeight="1">
      <c r="A668" s="1"/>
    </row>
    <row r="669" ht="16.5" customHeight="1">
      <c r="A669" s="1"/>
    </row>
    <row r="670" ht="16.5" customHeight="1">
      <c r="A670" s="1"/>
    </row>
    <row r="671" ht="16.5" customHeight="1">
      <c r="A671" s="1"/>
    </row>
    <row r="672" ht="16.5" customHeight="1">
      <c r="A672" s="1"/>
    </row>
    <row r="673" ht="16.5" customHeight="1">
      <c r="A673" s="1"/>
    </row>
    <row r="674" ht="16.5" customHeight="1">
      <c r="A674" s="1"/>
    </row>
    <row r="675" ht="16.5" customHeight="1">
      <c r="A675" s="1"/>
    </row>
    <row r="676" ht="16.5" customHeight="1">
      <c r="A676" s="1"/>
    </row>
    <row r="677" ht="16.5" customHeight="1">
      <c r="A677" s="1"/>
    </row>
  </sheetData>
  <sheetProtection sheet="1" objects="1" scenarios="1" selectLockedCells="1"/>
  <protectedRanges>
    <protectedRange sqref="G199:Q211 B214:C226 E214:H226 J214:T226 V214:W226 AA214" name="Bereich8"/>
    <protectedRange sqref="C180:H182 L180:P182 R180:V182 X180:AB182 AD180:AH182 AN180:AN182 AL182:AM182 AJ180:AK182 M185:M187 C185:C187" name="Bereich7"/>
    <protectedRange sqref="S37:S45" name="Bereich6"/>
    <protectedRange sqref="J173:J177 N173:N177 AC173:AD177 L173:L177 Z178:AA178 R173:T177 AF173:AG177 AI173:AJ177 P173:P177 C174:H177 X173:X177" name="Bereich5"/>
    <protectedRange sqref="H155 I164 K164 I161 M161 O161 J160 L160 G168:G169 K168:K169 I168:I169 AC168:AC169 AO156" name="Bereich4"/>
    <protectedRange sqref="X149 R149 AO132:AO142 AM132:AM142 Z129 V147:V149 M150 AJ120 C149 T147:T148 U146 O147:P148 AH132:AI142 S146 E149 AM129 AH110:AI119 V110:V145 AO121:AO124 O110:P145 AH121:AI124 AM110:AM119 AM121:AM124 AO110:AO119 X110:X127 T110:T145" name="Bereich3"/>
    <protectedRange sqref="Q76:T80 L76:O80 P16:P20 C18 J19 I49:J54 C193:S197 G58 G60 G62 M58 P58 M60 P60 M62 P62 H65:H66 F8:K8 H76:I80 P21:S21 L49:M55 C87:H97 F100 J100 N100 M102 M104:M105 L190 P102:P105 F4:K5 C76:F80 B37:S45 B69:R73 B98:R98 B106:R106 F13:F16 F20 O14:O15 V87:AF97" name="Bereich2"/>
    <protectedRange sqref="F4:K5" name="Bereich1"/>
    <protectedRange sqref="V173:W177 AL180:AM180 AL178:AM178" name="Bereich5_1"/>
    <protectedRange sqref="J185:J187" name="Bereich7_1"/>
  </protectedRanges>
  <mergeCells count="423">
    <mergeCell ref="O280:P280"/>
    <mergeCell ref="B280:M280"/>
    <mergeCell ref="R265:AJ265"/>
    <mergeCell ref="R267:AJ267"/>
    <mergeCell ref="R269:AJ269"/>
    <mergeCell ref="R274:AJ274"/>
    <mergeCell ref="B267:M267"/>
    <mergeCell ref="B265:M265"/>
    <mergeCell ref="B274:M274"/>
    <mergeCell ref="O274:P274"/>
    <mergeCell ref="X131:Y131"/>
    <mergeCell ref="B269:M269"/>
    <mergeCell ref="O269:P269"/>
    <mergeCell ref="R257:AJ257"/>
    <mergeCell ref="R259:AJ259"/>
    <mergeCell ref="R261:AJ261"/>
    <mergeCell ref="R263:AJ263"/>
    <mergeCell ref="O261:P261"/>
    <mergeCell ref="O263:P263"/>
    <mergeCell ref="O265:P265"/>
    <mergeCell ref="B276:M276"/>
    <mergeCell ref="B278:M278"/>
    <mergeCell ref="O276:P276"/>
    <mergeCell ref="O278:P278"/>
    <mergeCell ref="B285:M285"/>
    <mergeCell ref="B287:M287"/>
    <mergeCell ref="B289:M289"/>
    <mergeCell ref="B282:M282"/>
    <mergeCell ref="O267:P267"/>
    <mergeCell ref="E251:F251"/>
    <mergeCell ref="H251:I251"/>
    <mergeCell ref="K251:AJ251"/>
    <mergeCell ref="B255:M255"/>
    <mergeCell ref="O255:P255"/>
    <mergeCell ref="R255:AJ255"/>
    <mergeCell ref="E247:F247"/>
    <mergeCell ref="H247:I247"/>
    <mergeCell ref="K247:AJ247"/>
    <mergeCell ref="E249:F249"/>
    <mergeCell ref="H249:I249"/>
    <mergeCell ref="K249:AJ249"/>
    <mergeCell ref="E243:F243"/>
    <mergeCell ref="H243:I243"/>
    <mergeCell ref="K243:AJ243"/>
    <mergeCell ref="E245:F245"/>
    <mergeCell ref="H245:I245"/>
    <mergeCell ref="K245:AJ245"/>
    <mergeCell ref="E239:F239"/>
    <mergeCell ref="H239:I239"/>
    <mergeCell ref="K239:AJ239"/>
    <mergeCell ref="E241:F241"/>
    <mergeCell ref="H241:I241"/>
    <mergeCell ref="K241:AJ241"/>
    <mergeCell ref="E233:F233"/>
    <mergeCell ref="H233:I233"/>
    <mergeCell ref="E236:F236"/>
    <mergeCell ref="H236:I236"/>
    <mergeCell ref="E230:F230"/>
    <mergeCell ref="H230:I230"/>
    <mergeCell ref="C101:D101"/>
    <mergeCell ref="L116:M116"/>
    <mergeCell ref="L117:M117"/>
    <mergeCell ref="L118:M118"/>
    <mergeCell ref="L119:M119"/>
    <mergeCell ref="L141:M141"/>
    <mergeCell ref="L140:M140"/>
    <mergeCell ref="C181:H181"/>
    <mergeCell ref="R177:S177"/>
    <mergeCell ref="B31:P35"/>
    <mergeCell ref="B30:I30"/>
    <mergeCell ref="L30:M30"/>
    <mergeCell ref="N30:O30"/>
    <mergeCell ref="P172:T172"/>
    <mergeCell ref="K156:L156"/>
    <mergeCell ref="L126:M126"/>
    <mergeCell ref="L120:M120"/>
    <mergeCell ref="L130:M130"/>
    <mergeCell ref="AA214:AC214"/>
    <mergeCell ref="J185:K185"/>
    <mergeCell ref="M185:X185"/>
    <mergeCell ref="M187:X187"/>
    <mergeCell ref="J187:K187"/>
    <mergeCell ref="G199:Q199"/>
    <mergeCell ref="G200:Q200"/>
    <mergeCell ref="C196:S196"/>
    <mergeCell ref="C186:H186"/>
    <mergeCell ref="C191:D191"/>
    <mergeCell ref="L144:M144"/>
    <mergeCell ref="L142:M142"/>
    <mergeCell ref="L139:M139"/>
    <mergeCell ref="L147:M147"/>
    <mergeCell ref="L145:M145"/>
    <mergeCell ref="C180:H180"/>
    <mergeCell ref="C175:H175"/>
    <mergeCell ref="AE137:AF137"/>
    <mergeCell ref="AE138:AF138"/>
    <mergeCell ref="AE142:AF142"/>
    <mergeCell ref="R176:S176"/>
    <mergeCell ref="V175:W175"/>
    <mergeCell ref="V177:W177"/>
    <mergeCell ref="V172:X172"/>
    <mergeCell ref="V176:W176"/>
    <mergeCell ref="C182:H182"/>
    <mergeCell ref="Z184:AA184"/>
    <mergeCell ref="C185:H185"/>
    <mergeCell ref="C187:H187"/>
    <mergeCell ref="J184:L184"/>
    <mergeCell ref="J186:K186"/>
    <mergeCell ref="M186:X186"/>
    <mergeCell ref="V173:W173"/>
    <mergeCell ref="V174:W174"/>
    <mergeCell ref="R175:S175"/>
    <mergeCell ref="R174:S174"/>
    <mergeCell ref="R173:S173"/>
    <mergeCell ref="C176:H176"/>
    <mergeCell ref="C177:H177"/>
    <mergeCell ref="O169:P169"/>
    <mergeCell ref="C174:H174"/>
    <mergeCell ref="C173:H173"/>
    <mergeCell ref="R169:S169"/>
    <mergeCell ref="D164:E164"/>
    <mergeCell ref="M169:N169"/>
    <mergeCell ref="X169:Y169"/>
    <mergeCell ref="U169:V169"/>
    <mergeCell ref="M168:N168"/>
    <mergeCell ref="L133:M133"/>
    <mergeCell ref="L132:M132"/>
    <mergeCell ref="L134:M134"/>
    <mergeCell ref="P57:Q57"/>
    <mergeCell ref="P91:AF91"/>
    <mergeCell ref="P92:AF92"/>
    <mergeCell ref="P93:AF93"/>
    <mergeCell ref="L110:M110"/>
    <mergeCell ref="L111:M111"/>
    <mergeCell ref="L115:M115"/>
    <mergeCell ref="G61:H61"/>
    <mergeCell ref="P59:Q59"/>
    <mergeCell ref="P58:Q58"/>
    <mergeCell ref="M57:N57"/>
    <mergeCell ref="G58:H58"/>
    <mergeCell ref="M60:N60"/>
    <mergeCell ref="J60:K60"/>
    <mergeCell ref="G59:H59"/>
    <mergeCell ref="J58:K58"/>
    <mergeCell ref="O27:P27"/>
    <mergeCell ref="O28:P28"/>
    <mergeCell ref="C18:F18"/>
    <mergeCell ref="B153:AO153"/>
    <mergeCell ref="X115:AD115"/>
    <mergeCell ref="X116:AD116"/>
    <mergeCell ref="X117:AD117"/>
    <mergeCell ref="AE136:AF136"/>
    <mergeCell ref="C61:E61"/>
    <mergeCell ref="X118:AD118"/>
    <mergeCell ref="O25:P25"/>
    <mergeCell ref="H18:K18"/>
    <mergeCell ref="H17:K17"/>
    <mergeCell ref="F4:N4"/>
    <mergeCell ref="O14:P14"/>
    <mergeCell ref="O15:P15"/>
    <mergeCell ref="L25:M25"/>
    <mergeCell ref="D19:G19"/>
    <mergeCell ref="H19:I19"/>
    <mergeCell ref="L27:M27"/>
    <mergeCell ref="L28:M28"/>
    <mergeCell ref="F13:G13"/>
    <mergeCell ref="F15:G15"/>
    <mergeCell ref="C17:F17"/>
    <mergeCell ref="F14:G14"/>
    <mergeCell ref="B43:R43"/>
    <mergeCell ref="L26:M26"/>
    <mergeCell ref="B44:R44"/>
    <mergeCell ref="B37:R37"/>
    <mergeCell ref="B38:R38"/>
    <mergeCell ref="B39:R39"/>
    <mergeCell ref="B40:R40"/>
    <mergeCell ref="B41:R41"/>
    <mergeCell ref="B42:R42"/>
    <mergeCell ref="O26:P26"/>
    <mergeCell ref="B45:R45"/>
    <mergeCell ref="I191:J191"/>
    <mergeCell ref="L191:M191"/>
    <mergeCell ref="J61:K61"/>
    <mergeCell ref="M61:N61"/>
    <mergeCell ref="P61:Q61"/>
    <mergeCell ref="C190:D190"/>
    <mergeCell ref="F190:G190"/>
    <mergeCell ref="C58:E58"/>
    <mergeCell ref="P60:Q60"/>
    <mergeCell ref="L48:M48"/>
    <mergeCell ref="P49:Q49"/>
    <mergeCell ref="S49:T49"/>
    <mergeCell ref="L49:M49"/>
    <mergeCell ref="I49:J49"/>
    <mergeCell ref="P50:Q50"/>
    <mergeCell ref="S50:T50"/>
    <mergeCell ref="I52:J52"/>
    <mergeCell ref="S52:T52"/>
    <mergeCell ref="P51:Q51"/>
    <mergeCell ref="I51:J51"/>
    <mergeCell ref="L51:M51"/>
    <mergeCell ref="S51:T51"/>
    <mergeCell ref="I50:J50"/>
    <mergeCell ref="L50:M50"/>
    <mergeCell ref="P52:Q52"/>
    <mergeCell ref="L52:M52"/>
    <mergeCell ref="P53:Q53"/>
    <mergeCell ref="P54:Q54"/>
    <mergeCell ref="L53:M53"/>
    <mergeCell ref="I53:J53"/>
    <mergeCell ref="I54:J54"/>
    <mergeCell ref="L54:M54"/>
    <mergeCell ref="C193:S193"/>
    <mergeCell ref="C194:S194"/>
    <mergeCell ref="C60:E60"/>
    <mergeCell ref="H65:I65"/>
    <mergeCell ref="L108:M108"/>
    <mergeCell ref="H156:I156"/>
    <mergeCell ref="D160:E160"/>
    <mergeCell ref="L135:M135"/>
    <mergeCell ref="L136:M136"/>
    <mergeCell ref="L131:M131"/>
    <mergeCell ref="S54:T54"/>
    <mergeCell ref="P62:Q62"/>
    <mergeCell ref="C62:E62"/>
    <mergeCell ref="G62:H62"/>
    <mergeCell ref="J62:K62"/>
    <mergeCell ref="G60:H60"/>
    <mergeCell ref="M58:N58"/>
    <mergeCell ref="J59:K59"/>
    <mergeCell ref="M59:N59"/>
    <mergeCell ref="C57:E57"/>
    <mergeCell ref="C59:E59"/>
    <mergeCell ref="C78:L78"/>
    <mergeCell ref="C79:L79"/>
    <mergeCell ref="C197:S197"/>
    <mergeCell ref="F191:G191"/>
    <mergeCell ref="L149:N149"/>
    <mergeCell ref="H155:I155"/>
    <mergeCell ref="C195:S195"/>
    <mergeCell ref="I190:J190"/>
    <mergeCell ref="P90:AF90"/>
    <mergeCell ref="B223:C223"/>
    <mergeCell ref="G203:Q203"/>
    <mergeCell ref="B218:C218"/>
    <mergeCell ref="G204:Q204"/>
    <mergeCell ref="B219:C219"/>
    <mergeCell ref="G205:Q205"/>
    <mergeCell ref="B220:C220"/>
    <mergeCell ref="G206:Q206"/>
    <mergeCell ref="B221:C221"/>
    <mergeCell ref="E215:H215"/>
    <mergeCell ref="B215:C215"/>
    <mergeCell ref="J216:T216"/>
    <mergeCell ref="G210:Q210"/>
    <mergeCell ref="G201:Q201"/>
    <mergeCell ref="B216:C216"/>
    <mergeCell ref="G202:Q202"/>
    <mergeCell ref="B214:C214"/>
    <mergeCell ref="E214:H214"/>
    <mergeCell ref="E216:H216"/>
    <mergeCell ref="V216:W216"/>
    <mergeCell ref="J217:T217"/>
    <mergeCell ref="V217:W217"/>
    <mergeCell ref="J214:T214"/>
    <mergeCell ref="V214:W214"/>
    <mergeCell ref="J215:T215"/>
    <mergeCell ref="V215:W215"/>
    <mergeCell ref="B225:C225"/>
    <mergeCell ref="G211:Q211"/>
    <mergeCell ref="B226:C226"/>
    <mergeCell ref="G207:Q207"/>
    <mergeCell ref="B222:C222"/>
    <mergeCell ref="G209:Q209"/>
    <mergeCell ref="B224:C224"/>
    <mergeCell ref="G208:Q208"/>
    <mergeCell ref="B217:C217"/>
    <mergeCell ref="E217:H217"/>
    <mergeCell ref="V218:W218"/>
    <mergeCell ref="E219:H219"/>
    <mergeCell ref="J219:T219"/>
    <mergeCell ref="V219:W219"/>
    <mergeCell ref="E218:H218"/>
    <mergeCell ref="J218:T218"/>
    <mergeCell ref="V220:W220"/>
    <mergeCell ref="E221:H221"/>
    <mergeCell ref="J221:T221"/>
    <mergeCell ref="V221:W221"/>
    <mergeCell ref="E220:H220"/>
    <mergeCell ref="J220:T220"/>
    <mergeCell ref="V222:W222"/>
    <mergeCell ref="E223:H223"/>
    <mergeCell ref="J223:T223"/>
    <mergeCell ref="V223:W223"/>
    <mergeCell ref="E222:H222"/>
    <mergeCell ref="J222:T222"/>
    <mergeCell ref="V226:W226"/>
    <mergeCell ref="J224:T224"/>
    <mergeCell ref="V224:W224"/>
    <mergeCell ref="E225:H225"/>
    <mergeCell ref="J225:T225"/>
    <mergeCell ref="V225:W225"/>
    <mergeCell ref="E224:H224"/>
    <mergeCell ref="E226:H226"/>
    <mergeCell ref="J226:T226"/>
    <mergeCell ref="AE108:AF108"/>
    <mergeCell ref="X112:AD112"/>
    <mergeCell ref="AE114:AF114"/>
    <mergeCell ref="AE113:AF113"/>
    <mergeCell ref="AE110:AF110"/>
    <mergeCell ref="AE115:AF115"/>
    <mergeCell ref="AE116:AF116"/>
    <mergeCell ref="L112:M112"/>
    <mergeCell ref="X113:AD113"/>
    <mergeCell ref="L114:M114"/>
    <mergeCell ref="C93:N93"/>
    <mergeCell ref="C94:N94"/>
    <mergeCell ref="W149:X149"/>
    <mergeCell ref="AE111:AF111"/>
    <mergeCell ref="AE112:AF112"/>
    <mergeCell ref="AE140:AF140"/>
    <mergeCell ref="AE139:AF139"/>
    <mergeCell ref="AE118:AF118"/>
    <mergeCell ref="X114:AD114"/>
    <mergeCell ref="X120:AD120"/>
    <mergeCell ref="M105:N105"/>
    <mergeCell ref="E105:F105"/>
    <mergeCell ref="M62:N62"/>
    <mergeCell ref="C95:N95"/>
    <mergeCell ref="C96:N96"/>
    <mergeCell ref="C97:N97"/>
    <mergeCell ref="C87:N87"/>
    <mergeCell ref="C88:N88"/>
    <mergeCell ref="C89:N89"/>
    <mergeCell ref="C92:N92"/>
    <mergeCell ref="M102:N102"/>
    <mergeCell ref="E103:F103"/>
    <mergeCell ref="M103:N103"/>
    <mergeCell ref="E104:F104"/>
    <mergeCell ref="AG120:AH120"/>
    <mergeCell ref="AE121:AF121"/>
    <mergeCell ref="P103:Q103"/>
    <mergeCell ref="P102:Q102"/>
    <mergeCell ref="P104:Q104"/>
    <mergeCell ref="X111:AD111"/>
    <mergeCell ref="AE117:AF117"/>
    <mergeCell ref="X110:AD110"/>
    <mergeCell ref="B107:AO107"/>
    <mergeCell ref="E102:F102"/>
    <mergeCell ref="S53:T53"/>
    <mergeCell ref="L138:M138"/>
    <mergeCell ref="J100:K100"/>
    <mergeCell ref="C77:L77"/>
    <mergeCell ref="L137:M137"/>
    <mergeCell ref="M104:N104"/>
    <mergeCell ref="N100:O100"/>
    <mergeCell ref="Q101:R101"/>
    <mergeCell ref="F100:G100"/>
    <mergeCell ref="P105:Q105"/>
    <mergeCell ref="C76:L76"/>
    <mergeCell ref="H66:I66"/>
    <mergeCell ref="AE135:AF135"/>
    <mergeCell ref="AE133:AF133"/>
    <mergeCell ref="AE134:AF134"/>
    <mergeCell ref="AE132:AF132"/>
    <mergeCell ref="C80:L80"/>
    <mergeCell ref="L122:M122"/>
    <mergeCell ref="L123:M123"/>
    <mergeCell ref="L124:M124"/>
    <mergeCell ref="R280:AJ280"/>
    <mergeCell ref="R282:AJ282"/>
    <mergeCell ref="P55:Q55"/>
    <mergeCell ref="L55:M55"/>
    <mergeCell ref="Z129:AF129"/>
    <mergeCell ref="L125:M125"/>
    <mergeCell ref="L129:M129"/>
    <mergeCell ref="AE123:AF123"/>
    <mergeCell ref="L127:M127"/>
    <mergeCell ref="L128:M128"/>
    <mergeCell ref="K233:AJ234"/>
    <mergeCell ref="K236:AJ237"/>
    <mergeCell ref="R276:AJ276"/>
    <mergeCell ref="R278:AJ278"/>
    <mergeCell ref="B257:M257"/>
    <mergeCell ref="B259:M259"/>
    <mergeCell ref="O257:P257"/>
    <mergeCell ref="O259:P259"/>
    <mergeCell ref="B261:M261"/>
    <mergeCell ref="B263:M263"/>
    <mergeCell ref="Q8:Y8"/>
    <mergeCell ref="Q7:Z7"/>
    <mergeCell ref="O289:P289"/>
    <mergeCell ref="R285:AJ285"/>
    <mergeCell ref="R287:AJ287"/>
    <mergeCell ref="R289:AJ289"/>
    <mergeCell ref="O282:P282"/>
    <mergeCell ref="O285:P285"/>
    <mergeCell ref="O287:P287"/>
    <mergeCell ref="K230:AJ231"/>
    <mergeCell ref="V76:AB76"/>
    <mergeCell ref="V77:AB77"/>
    <mergeCell ref="W84:AE84"/>
    <mergeCell ref="W85:AE85"/>
    <mergeCell ref="P87:AF87"/>
    <mergeCell ref="P88:AF88"/>
    <mergeCell ref="P89:AF89"/>
    <mergeCell ref="C91:N91"/>
    <mergeCell ref="C90:N90"/>
    <mergeCell ref="V228:AB228"/>
    <mergeCell ref="R25:AC25"/>
    <mergeCell ref="R26:AC26"/>
    <mergeCell ref="P94:AF94"/>
    <mergeCell ref="P95:AF95"/>
    <mergeCell ref="P96:AF96"/>
    <mergeCell ref="P97:AF97"/>
    <mergeCell ref="V75:AB75"/>
    <mergeCell ref="AE141:AF141"/>
    <mergeCell ref="AE122:AF122"/>
    <mergeCell ref="AF6:AO6"/>
    <mergeCell ref="AE5:AO5"/>
    <mergeCell ref="A1:AP2"/>
    <mergeCell ref="Q5:Y5"/>
    <mergeCell ref="Q4:Y4"/>
  </mergeCells>
  <hyperlinks>
    <hyperlink ref="Q5" r:id="rId1" display="Namensgenerator"/>
    <hyperlink ref="Q8" r:id="rId2" display="NPC Hintergrund"/>
    <hyperlink ref="V76" r:id="rId3" tooltip="Charakter Generator" display="Charakter Generator"/>
    <hyperlink ref="V77" r:id="rId4" display="Elfwood"/>
    <hyperlink ref="W85" r:id="rId5" display="Feats"/>
    <hyperlink ref="V228" r:id="rId6" display="Liste aller Sprüche"/>
    <hyperlink ref="R26" r:id="rId7" display="Komplette Liste"/>
    <hyperlink ref="AF6" r:id="rId8" display="Komplette Regeln Online"/>
  </hyperlinks>
  <printOptions horizontalCentered="1"/>
  <pageMargins left="0.3937007874015748" right="0.3937007874015748" top="0.3937007874015748" bottom="0.3937007874015748" header="0" footer="0"/>
  <pageSetup fitToHeight="0" fitToWidth="1" orientation="portrait" paperSize="9" scale="89" r:id="rId12"/>
  <rowBreaks count="1" manualBreakCount="1">
    <brk id="152" min="1" max="40" man="1"/>
  </rowBreaks>
  <ignoredErrors>
    <ignoredError sqref="R118" formula="1"/>
  </ignoredErrors>
  <drawing r:id="rId11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O488"/>
  <sheetViews>
    <sheetView workbookViewId="0" topLeftCell="A1">
      <selection activeCell="A188" sqref="A188"/>
    </sheetView>
  </sheetViews>
  <sheetFormatPr defaultColWidth="11.421875" defaultRowHeight="12.75"/>
  <cols>
    <col min="1" max="1" width="30.7109375" style="134" bestFit="1" customWidth="1"/>
    <col min="2" max="2" width="5.7109375" style="134" customWidth="1"/>
    <col min="3" max="3" width="6.8515625" style="134" bestFit="1" customWidth="1"/>
    <col min="4" max="4" width="28.421875" style="134" bestFit="1" customWidth="1"/>
    <col min="5" max="6" width="9.28125" style="134" bestFit="1" customWidth="1"/>
    <col min="7" max="7" width="10.7109375" style="152" bestFit="1" customWidth="1"/>
    <col min="8" max="8" width="5.7109375" style="175" bestFit="1" customWidth="1"/>
    <col min="9" max="9" width="8.28125" style="175" bestFit="1" customWidth="1"/>
    <col min="10" max="10" width="12.57421875" style="134" bestFit="1" customWidth="1"/>
    <col min="11" max="11" width="8.28125" style="134" bestFit="1" customWidth="1"/>
    <col min="12" max="14" width="1.8515625" style="134" bestFit="1" customWidth="1"/>
    <col min="15" max="15" width="4.8515625" style="134" bestFit="1" customWidth="1"/>
    <col min="16" max="16" width="3.421875" style="134" bestFit="1" customWidth="1"/>
    <col min="17" max="17" width="6.8515625" style="134" bestFit="1" customWidth="1"/>
    <col min="18" max="18" width="6.28125" style="134" bestFit="1" customWidth="1"/>
    <col min="19" max="19" width="5.140625" style="134" bestFit="1" customWidth="1"/>
    <col min="20" max="20" width="3.00390625" style="134" bestFit="1" customWidth="1"/>
    <col min="21" max="16384" width="11.421875" style="134" customWidth="1"/>
  </cols>
  <sheetData>
    <row r="1" spans="1:11" ht="11.25">
      <c r="A1" s="132" t="s">
        <v>630</v>
      </c>
      <c r="B1" s="133">
        <v>1</v>
      </c>
      <c r="D1" s="132" t="s">
        <v>156</v>
      </c>
      <c r="E1" s="135" t="s">
        <v>435</v>
      </c>
      <c r="F1" s="135" t="s">
        <v>436</v>
      </c>
      <c r="G1" s="136" t="s">
        <v>437</v>
      </c>
      <c r="H1" s="174" t="s">
        <v>438</v>
      </c>
      <c r="I1" s="180" t="s">
        <v>439</v>
      </c>
      <c r="J1" s="136" t="s">
        <v>534</v>
      </c>
      <c r="K1" s="133"/>
    </row>
    <row r="2" spans="1:11" ht="11.25">
      <c r="A2" s="137" t="s">
        <v>631</v>
      </c>
      <c r="B2" s="138"/>
      <c r="D2" s="137" t="s">
        <v>412</v>
      </c>
      <c r="E2" s="139" t="s">
        <v>418</v>
      </c>
      <c r="F2" s="139" t="s">
        <v>419</v>
      </c>
      <c r="G2" s="140" t="s">
        <v>670</v>
      </c>
      <c r="H2" s="141">
        <v>9</v>
      </c>
      <c r="I2" s="141">
        <v>1</v>
      </c>
      <c r="J2" s="140" t="s">
        <v>155</v>
      </c>
      <c r="K2" s="138">
        <v>79</v>
      </c>
    </row>
    <row r="3" spans="1:11" ht="11.25">
      <c r="A3" s="137" t="s">
        <v>632</v>
      </c>
      <c r="B3" s="138"/>
      <c r="D3" s="137" t="s">
        <v>170</v>
      </c>
      <c r="E3" s="139" t="s">
        <v>420</v>
      </c>
      <c r="F3" s="139" t="s">
        <v>422</v>
      </c>
      <c r="G3" s="140" t="s">
        <v>670</v>
      </c>
      <c r="H3" s="141">
        <v>24</v>
      </c>
      <c r="I3" s="141">
        <v>2</v>
      </c>
      <c r="J3" s="140" t="s">
        <v>155</v>
      </c>
      <c r="K3" s="138">
        <v>82</v>
      </c>
    </row>
    <row r="4" spans="1:11" ht="11.25">
      <c r="A4" s="137" t="s">
        <v>633</v>
      </c>
      <c r="B4" s="138"/>
      <c r="D4" s="137" t="s">
        <v>414</v>
      </c>
      <c r="E4" s="139" t="s">
        <v>420</v>
      </c>
      <c r="F4" s="139" t="s">
        <v>422</v>
      </c>
      <c r="G4" s="140" t="s">
        <v>670</v>
      </c>
      <c r="H4" s="141">
        <v>24</v>
      </c>
      <c r="I4" s="141">
        <v>3</v>
      </c>
      <c r="J4" s="140" t="s">
        <v>155</v>
      </c>
      <c r="K4" s="138">
        <v>82</v>
      </c>
    </row>
    <row r="5" spans="1:11" ht="11.25">
      <c r="A5" s="137" t="s">
        <v>634</v>
      </c>
      <c r="B5" s="138"/>
      <c r="D5" s="137" t="s">
        <v>169</v>
      </c>
      <c r="E5" s="139" t="s">
        <v>422</v>
      </c>
      <c r="F5" s="139" t="s">
        <v>423</v>
      </c>
      <c r="G5" s="140" t="s">
        <v>670</v>
      </c>
      <c r="H5" s="141">
        <v>40</v>
      </c>
      <c r="I5" s="141">
        <v>4</v>
      </c>
      <c r="J5" s="140" t="s">
        <v>155</v>
      </c>
      <c r="K5" s="138">
        <v>82</v>
      </c>
    </row>
    <row r="6" spans="1:11" ht="11.25">
      <c r="A6" s="137" t="s">
        <v>635</v>
      </c>
      <c r="B6" s="138"/>
      <c r="D6" s="137" t="s">
        <v>413</v>
      </c>
      <c r="E6" s="139" t="s">
        <v>422</v>
      </c>
      <c r="F6" s="139" t="s">
        <v>423</v>
      </c>
      <c r="G6" s="140" t="s">
        <v>670</v>
      </c>
      <c r="H6" s="141">
        <v>40</v>
      </c>
      <c r="I6" s="141">
        <v>6</v>
      </c>
      <c r="J6" s="140" t="s">
        <v>155</v>
      </c>
      <c r="K6" s="138">
        <v>82</v>
      </c>
    </row>
    <row r="7" spans="1:11" ht="11.25">
      <c r="A7" s="137" t="s">
        <v>636</v>
      </c>
      <c r="B7" s="138"/>
      <c r="D7" s="137" t="s">
        <v>406</v>
      </c>
      <c r="E7" s="139" t="s">
        <v>424</v>
      </c>
      <c r="F7" s="139" t="s">
        <v>430</v>
      </c>
      <c r="G7" s="140" t="s">
        <v>671</v>
      </c>
      <c r="H7" s="141">
        <v>0</v>
      </c>
      <c r="I7" s="141">
        <v>7.5</v>
      </c>
      <c r="J7" s="140" t="s">
        <v>7</v>
      </c>
      <c r="K7" s="138"/>
    </row>
    <row r="8" spans="1:11" ht="11.25">
      <c r="A8" s="137" t="s">
        <v>637</v>
      </c>
      <c r="B8" s="138"/>
      <c r="D8" s="137" t="s">
        <v>187</v>
      </c>
      <c r="E8" s="139" t="s">
        <v>420</v>
      </c>
      <c r="F8" s="139" t="s">
        <v>422</v>
      </c>
      <c r="G8" s="140" t="s">
        <v>671</v>
      </c>
      <c r="H8" s="141">
        <v>0</v>
      </c>
      <c r="I8" s="141">
        <v>3</v>
      </c>
      <c r="J8" s="140" t="s">
        <v>7</v>
      </c>
      <c r="K8" s="138"/>
    </row>
    <row r="9" spans="1:11" ht="11.25">
      <c r="A9" s="137" t="s">
        <v>638</v>
      </c>
      <c r="B9" s="138"/>
      <c r="D9" s="137" t="s">
        <v>675</v>
      </c>
      <c r="E9" s="139" t="s">
        <v>422</v>
      </c>
      <c r="F9" s="139" t="s">
        <v>423</v>
      </c>
      <c r="G9" s="140" t="s">
        <v>671</v>
      </c>
      <c r="H9" s="141">
        <v>0</v>
      </c>
      <c r="I9" s="141">
        <v>4</v>
      </c>
      <c r="J9" s="140" t="s">
        <v>7</v>
      </c>
      <c r="K9" s="138"/>
    </row>
    <row r="10" spans="1:11" ht="11.25">
      <c r="A10" s="142" t="s">
        <v>639</v>
      </c>
      <c r="B10" s="143"/>
      <c r="D10" s="137" t="s">
        <v>676</v>
      </c>
      <c r="E10" s="139" t="s">
        <v>423</v>
      </c>
      <c r="F10" s="139" t="s">
        <v>428</v>
      </c>
      <c r="G10" s="140" t="s">
        <v>671</v>
      </c>
      <c r="H10" s="141">
        <v>0</v>
      </c>
      <c r="I10" s="141">
        <v>6</v>
      </c>
      <c r="J10" s="140" t="s">
        <v>7</v>
      </c>
      <c r="K10" s="138"/>
    </row>
    <row r="11" spans="4:11" ht="11.25">
      <c r="D11" s="137" t="s">
        <v>672</v>
      </c>
      <c r="E11" s="139" t="s">
        <v>419</v>
      </c>
      <c r="F11" s="139" t="s">
        <v>420</v>
      </c>
      <c r="G11" s="140" t="s">
        <v>671</v>
      </c>
      <c r="H11" s="141">
        <v>0</v>
      </c>
      <c r="I11" s="141">
        <v>1.5</v>
      </c>
      <c r="J11" s="140" t="s">
        <v>7</v>
      </c>
      <c r="K11" s="138"/>
    </row>
    <row r="12" spans="4:11" ht="11.25">
      <c r="D12" s="137" t="s">
        <v>677</v>
      </c>
      <c r="E12" s="139" t="s">
        <v>419</v>
      </c>
      <c r="F12" s="139" t="s">
        <v>420</v>
      </c>
      <c r="G12" s="140" t="s">
        <v>673</v>
      </c>
      <c r="H12" s="141">
        <v>3</v>
      </c>
      <c r="I12" s="141">
        <v>1</v>
      </c>
      <c r="J12" s="140" t="s">
        <v>7</v>
      </c>
      <c r="K12" s="138"/>
    </row>
    <row r="13" spans="1:11" ht="11.25">
      <c r="A13" s="132" t="s">
        <v>640</v>
      </c>
      <c r="B13" s="133"/>
      <c r="D13" s="137" t="s">
        <v>397</v>
      </c>
      <c r="E13" s="139" t="s">
        <v>419</v>
      </c>
      <c r="F13" s="139" t="s">
        <v>420</v>
      </c>
      <c r="G13" s="140" t="s">
        <v>671</v>
      </c>
      <c r="H13" s="141">
        <v>20</v>
      </c>
      <c r="I13" s="141">
        <v>1</v>
      </c>
      <c r="J13" s="140" t="s">
        <v>155</v>
      </c>
      <c r="K13" s="138"/>
    </row>
    <row r="14" spans="1:11" ht="11.25">
      <c r="A14" s="137" t="s">
        <v>642</v>
      </c>
      <c r="B14" s="138">
        <v>1</v>
      </c>
      <c r="D14" s="137" t="s">
        <v>398</v>
      </c>
      <c r="E14" s="139" t="s">
        <v>419</v>
      </c>
      <c r="F14" s="139" t="s">
        <v>420</v>
      </c>
      <c r="G14" s="140" t="s">
        <v>671</v>
      </c>
      <c r="H14" s="141">
        <v>21</v>
      </c>
      <c r="I14" s="141">
        <v>1</v>
      </c>
      <c r="J14" s="140" t="s">
        <v>155</v>
      </c>
      <c r="K14" s="138"/>
    </row>
    <row r="15" spans="1:12" ht="11.25">
      <c r="A15" s="142" t="s">
        <v>244</v>
      </c>
      <c r="B15" s="143"/>
      <c r="D15" s="137" t="s">
        <v>396</v>
      </c>
      <c r="E15" s="139" t="s">
        <v>420</v>
      </c>
      <c r="F15" s="139" t="s">
        <v>422</v>
      </c>
      <c r="G15" s="140" t="s">
        <v>671</v>
      </c>
      <c r="H15" s="141">
        <v>30</v>
      </c>
      <c r="I15" s="141">
        <v>1.5</v>
      </c>
      <c r="J15" s="140" t="s">
        <v>155</v>
      </c>
      <c r="K15" s="138"/>
      <c r="L15" s="144"/>
    </row>
    <row r="16" spans="4:11" ht="11.25">
      <c r="D16" s="137" t="s">
        <v>399</v>
      </c>
      <c r="E16" s="139" t="s">
        <v>420</v>
      </c>
      <c r="F16" s="139" t="s">
        <v>422</v>
      </c>
      <c r="G16" s="140" t="s">
        <v>671</v>
      </c>
      <c r="H16" s="141">
        <v>33</v>
      </c>
      <c r="I16" s="141">
        <v>1.5</v>
      </c>
      <c r="J16" s="140" t="s">
        <v>155</v>
      </c>
      <c r="K16" s="138"/>
    </row>
    <row r="17" spans="1:11" ht="11.25">
      <c r="A17" s="132" t="s">
        <v>113</v>
      </c>
      <c r="B17" s="133"/>
      <c r="D17" s="137" t="s">
        <v>411</v>
      </c>
      <c r="E17" s="139" t="s">
        <v>418</v>
      </c>
      <c r="F17" s="139" t="s">
        <v>419</v>
      </c>
      <c r="G17" s="140" t="s">
        <v>673</v>
      </c>
      <c r="H17" s="141">
        <v>3</v>
      </c>
      <c r="I17" s="141">
        <v>1</v>
      </c>
      <c r="J17" s="140" t="s">
        <v>9</v>
      </c>
      <c r="K17" s="138"/>
    </row>
    <row r="18" spans="1:11" ht="11.25">
      <c r="A18" s="137" t="s">
        <v>245</v>
      </c>
      <c r="B18" s="138">
        <v>2</v>
      </c>
      <c r="D18" s="137" t="s">
        <v>303</v>
      </c>
      <c r="E18" s="145" t="s">
        <v>418</v>
      </c>
      <c r="F18" s="145" t="s">
        <v>419</v>
      </c>
      <c r="G18" s="140" t="s">
        <v>673</v>
      </c>
      <c r="H18" s="141">
        <v>9</v>
      </c>
      <c r="I18" s="141">
        <v>0.5</v>
      </c>
      <c r="J18" s="140" t="s">
        <v>9</v>
      </c>
      <c r="K18" s="138"/>
    </row>
    <row r="19" spans="1:11" ht="11.25">
      <c r="A19" s="142" t="s">
        <v>246</v>
      </c>
      <c r="B19" s="143"/>
      <c r="D19" s="137" t="s">
        <v>304</v>
      </c>
      <c r="E19" s="145" t="s">
        <v>418</v>
      </c>
      <c r="F19" s="145" t="s">
        <v>420</v>
      </c>
      <c r="G19" s="140" t="s">
        <v>673</v>
      </c>
      <c r="H19" s="141">
        <v>6</v>
      </c>
      <c r="I19" s="141">
        <v>1</v>
      </c>
      <c r="J19" s="140" t="s">
        <v>10</v>
      </c>
      <c r="K19" s="138"/>
    </row>
    <row r="20" spans="4:11" ht="11.25">
      <c r="D20" s="137" t="s">
        <v>158</v>
      </c>
      <c r="E20" s="139" t="s">
        <v>418</v>
      </c>
      <c r="F20" s="139" t="s">
        <v>419</v>
      </c>
      <c r="G20" s="140" t="s">
        <v>670</v>
      </c>
      <c r="H20" s="141">
        <v>3</v>
      </c>
      <c r="I20" s="141">
        <v>0.5</v>
      </c>
      <c r="J20" s="140" t="s">
        <v>8</v>
      </c>
      <c r="K20" s="138"/>
    </row>
    <row r="21" spans="1:11" ht="11.25">
      <c r="A21" s="132" t="s">
        <v>247</v>
      </c>
      <c r="B21" s="133"/>
      <c r="D21" s="137" t="s">
        <v>302</v>
      </c>
      <c r="E21" s="139" t="s">
        <v>421</v>
      </c>
      <c r="F21" s="145" t="s">
        <v>305</v>
      </c>
      <c r="G21" s="140" t="s">
        <v>674</v>
      </c>
      <c r="H21" s="141">
        <v>0</v>
      </c>
      <c r="I21" s="141">
        <v>7.5</v>
      </c>
      <c r="J21" s="140" t="s">
        <v>7</v>
      </c>
      <c r="K21" s="138"/>
    </row>
    <row r="22" spans="1:11" ht="11.25">
      <c r="A22" s="137" t="s">
        <v>248</v>
      </c>
      <c r="B22" s="138">
        <v>1</v>
      </c>
      <c r="D22" s="137" t="s">
        <v>186</v>
      </c>
      <c r="E22" s="139" t="s">
        <v>420</v>
      </c>
      <c r="F22" s="139" t="s">
        <v>422</v>
      </c>
      <c r="G22" s="140" t="s">
        <v>673</v>
      </c>
      <c r="H22" s="141">
        <v>3</v>
      </c>
      <c r="I22" s="141">
        <v>2</v>
      </c>
      <c r="J22" s="140" t="s">
        <v>155</v>
      </c>
      <c r="K22" s="138"/>
    </row>
    <row r="23" spans="1:11" ht="11.25">
      <c r="A23" s="137" t="s">
        <v>249</v>
      </c>
      <c r="B23" s="138"/>
      <c r="D23" s="137" t="s">
        <v>678</v>
      </c>
      <c r="E23" s="139" t="s">
        <v>420</v>
      </c>
      <c r="F23" s="139" t="s">
        <v>427</v>
      </c>
      <c r="G23" s="140" t="s">
        <v>674</v>
      </c>
      <c r="H23" s="141">
        <v>0</v>
      </c>
      <c r="I23" s="141">
        <v>4</v>
      </c>
      <c r="J23" s="140" t="s">
        <v>7</v>
      </c>
      <c r="K23" s="138"/>
    </row>
    <row r="24" spans="1:11" ht="11.25">
      <c r="A24" s="137" t="s">
        <v>150</v>
      </c>
      <c r="B24" s="138"/>
      <c r="D24" s="137" t="s">
        <v>298</v>
      </c>
      <c r="E24" s="141">
        <f>""</f>
      </c>
      <c r="F24" s="145" t="s">
        <v>420</v>
      </c>
      <c r="G24" s="140" t="s">
        <v>673</v>
      </c>
      <c r="H24" s="141">
        <v>0</v>
      </c>
      <c r="I24" s="141">
        <f>""</f>
      </c>
      <c r="J24" s="140" t="s">
        <v>7</v>
      </c>
      <c r="K24" s="138"/>
    </row>
    <row r="25" spans="1:11" ht="11.25">
      <c r="A25" s="137" t="s">
        <v>251</v>
      </c>
      <c r="B25" s="138"/>
      <c r="D25" s="137" t="s">
        <v>679</v>
      </c>
      <c r="E25" s="139" t="s">
        <v>420</v>
      </c>
      <c r="F25" s="139" t="s">
        <v>422</v>
      </c>
      <c r="G25" s="140" t="s">
        <v>673</v>
      </c>
      <c r="H25" s="141">
        <v>0</v>
      </c>
      <c r="I25" s="141">
        <v>2.5</v>
      </c>
      <c r="J25" s="140" t="s">
        <v>9</v>
      </c>
      <c r="K25" s="138"/>
    </row>
    <row r="26" spans="1:11" ht="11.25">
      <c r="A26" s="137" t="s">
        <v>151</v>
      </c>
      <c r="B26" s="138"/>
      <c r="D26" s="137" t="s">
        <v>680</v>
      </c>
      <c r="E26" s="139" t="s">
        <v>424</v>
      </c>
      <c r="F26" s="139" t="s">
        <v>430</v>
      </c>
      <c r="G26" s="140" t="s">
        <v>673</v>
      </c>
      <c r="H26" s="141">
        <v>0</v>
      </c>
      <c r="I26" s="141">
        <v>5</v>
      </c>
      <c r="J26" s="140" t="s">
        <v>9</v>
      </c>
      <c r="K26" s="138"/>
    </row>
    <row r="27" spans="1:11" ht="11.25">
      <c r="A27" s="137" t="s">
        <v>252</v>
      </c>
      <c r="B27" s="138"/>
      <c r="D27" s="137" t="s">
        <v>390</v>
      </c>
      <c r="E27" s="139" t="s">
        <v>422</v>
      </c>
      <c r="F27" s="139" t="s">
        <v>423</v>
      </c>
      <c r="G27" s="140" t="s">
        <v>670</v>
      </c>
      <c r="H27" s="141">
        <v>0</v>
      </c>
      <c r="I27" s="141">
        <v>5</v>
      </c>
      <c r="J27" s="140" t="s">
        <v>9</v>
      </c>
      <c r="K27" s="138"/>
    </row>
    <row r="28" spans="1:11" ht="11.25">
      <c r="A28" s="142" t="s">
        <v>250</v>
      </c>
      <c r="B28" s="143"/>
      <c r="D28" s="137" t="s">
        <v>681</v>
      </c>
      <c r="E28" s="139" t="s">
        <v>422</v>
      </c>
      <c r="F28" s="139" t="s">
        <v>423</v>
      </c>
      <c r="G28" s="140" t="s">
        <v>671</v>
      </c>
      <c r="H28" s="141">
        <v>0</v>
      </c>
      <c r="I28" s="141">
        <v>5</v>
      </c>
      <c r="J28" s="140" t="s">
        <v>7</v>
      </c>
      <c r="K28" s="138"/>
    </row>
    <row r="29" spans="4:11" ht="11.25">
      <c r="D29" s="137" t="s">
        <v>392</v>
      </c>
      <c r="E29" s="139" t="s">
        <v>420</v>
      </c>
      <c r="F29" s="139" t="s">
        <v>427</v>
      </c>
      <c r="G29" s="140" t="s">
        <v>671</v>
      </c>
      <c r="H29" s="141">
        <v>0</v>
      </c>
      <c r="I29" s="141">
        <v>6</v>
      </c>
      <c r="J29" s="140" t="s">
        <v>7</v>
      </c>
      <c r="K29" s="138"/>
    </row>
    <row r="30" spans="1:11" ht="11.25">
      <c r="A30" s="146" t="s">
        <v>520</v>
      </c>
      <c r="B30" s="133" t="b">
        <v>0</v>
      </c>
      <c r="D30" s="137" t="s">
        <v>408</v>
      </c>
      <c r="E30" s="139" t="s">
        <v>425</v>
      </c>
      <c r="F30" s="139" t="s">
        <v>431</v>
      </c>
      <c r="G30" s="140" t="s">
        <v>682</v>
      </c>
      <c r="H30" s="141">
        <v>0</v>
      </c>
      <c r="I30" s="141">
        <v>3</v>
      </c>
      <c r="J30" s="140" t="s">
        <v>10</v>
      </c>
      <c r="K30" s="138"/>
    </row>
    <row r="31" spans="1:11" ht="11.25">
      <c r="A31" s="147" t="s">
        <v>517</v>
      </c>
      <c r="B31" s="138" t="b">
        <v>0</v>
      </c>
      <c r="D31" s="137" t="s">
        <v>683</v>
      </c>
      <c r="E31" s="139" t="s">
        <v>420</v>
      </c>
      <c r="F31" s="139" t="s">
        <v>422</v>
      </c>
      <c r="G31" s="140" t="s">
        <v>671</v>
      </c>
      <c r="H31" s="141">
        <v>0</v>
      </c>
      <c r="I31" s="141">
        <v>2.5</v>
      </c>
      <c r="J31" s="140" t="s">
        <v>9</v>
      </c>
      <c r="K31" s="138"/>
    </row>
    <row r="32" spans="1:11" ht="11.25">
      <c r="A32" s="147" t="s">
        <v>498</v>
      </c>
      <c r="B32" s="138"/>
      <c r="D32" s="137" t="s">
        <v>173</v>
      </c>
      <c r="E32" s="139" t="s">
        <v>418</v>
      </c>
      <c r="F32" s="139" t="s">
        <v>419</v>
      </c>
      <c r="G32" s="140" t="s">
        <v>673</v>
      </c>
      <c r="H32" s="141">
        <v>6</v>
      </c>
      <c r="I32" s="141">
        <v>1</v>
      </c>
      <c r="J32" s="140" t="s">
        <v>9</v>
      </c>
      <c r="K32" s="138"/>
    </row>
    <row r="33" spans="1:11" ht="11.25">
      <c r="A33" s="147" t="s">
        <v>511</v>
      </c>
      <c r="B33" s="138"/>
      <c r="D33" s="137" t="s">
        <v>178</v>
      </c>
      <c r="E33" s="139" t="s">
        <v>418</v>
      </c>
      <c r="F33" s="139" t="s">
        <v>419</v>
      </c>
      <c r="G33" s="140" t="s">
        <v>673</v>
      </c>
      <c r="H33" s="141">
        <v>0</v>
      </c>
      <c r="I33" s="141">
        <v>0.5</v>
      </c>
      <c r="J33" s="140" t="s">
        <v>155</v>
      </c>
      <c r="K33" s="138"/>
    </row>
    <row r="34" spans="1:11" ht="11.25">
      <c r="A34" s="147" t="s">
        <v>499</v>
      </c>
      <c r="B34" s="138"/>
      <c r="D34" s="137" t="s">
        <v>432</v>
      </c>
      <c r="E34" s="139" t="s">
        <v>422</v>
      </c>
      <c r="F34" s="139" t="s">
        <v>433</v>
      </c>
      <c r="G34" s="140" t="s">
        <v>671</v>
      </c>
      <c r="H34" s="141">
        <v>0</v>
      </c>
      <c r="I34" s="141">
        <v>6</v>
      </c>
      <c r="J34" s="140" t="s">
        <v>8</v>
      </c>
      <c r="K34" s="138"/>
    </row>
    <row r="35" spans="1:11" ht="11.25">
      <c r="A35" s="147" t="s">
        <v>502</v>
      </c>
      <c r="B35" s="138"/>
      <c r="D35" s="137" t="s">
        <v>400</v>
      </c>
      <c r="E35" s="139" t="s">
        <v>419</v>
      </c>
      <c r="F35" s="139" t="s">
        <v>420</v>
      </c>
      <c r="G35" s="140" t="s">
        <v>673</v>
      </c>
      <c r="H35" s="141">
        <v>0</v>
      </c>
      <c r="I35" s="141">
        <v>1</v>
      </c>
      <c r="J35" s="140" t="s">
        <v>7</v>
      </c>
      <c r="K35" s="138"/>
    </row>
    <row r="36" spans="1:11" ht="11.25">
      <c r="A36" s="147" t="s">
        <v>506</v>
      </c>
      <c r="B36" s="138"/>
      <c r="D36" s="137" t="s">
        <v>167</v>
      </c>
      <c r="E36" s="139" t="s">
        <v>421</v>
      </c>
      <c r="F36" s="139" t="s">
        <v>424</v>
      </c>
      <c r="G36" s="140" t="s">
        <v>673</v>
      </c>
      <c r="H36" s="141">
        <v>0</v>
      </c>
      <c r="I36" s="141">
        <v>2</v>
      </c>
      <c r="J36" s="140" t="s">
        <v>9</v>
      </c>
      <c r="K36" s="138"/>
    </row>
    <row r="37" spans="1:11" ht="11.25">
      <c r="A37" s="147" t="s">
        <v>515</v>
      </c>
      <c r="B37" s="138" t="b">
        <v>0</v>
      </c>
      <c r="D37" s="137" t="s">
        <v>407</v>
      </c>
      <c r="E37" s="139" t="s">
        <v>420</v>
      </c>
      <c r="F37" s="139" t="s">
        <v>427</v>
      </c>
      <c r="G37" s="140" t="s">
        <v>673</v>
      </c>
      <c r="H37" s="141">
        <v>0</v>
      </c>
      <c r="I37" s="141">
        <v>5</v>
      </c>
      <c r="J37" s="140" t="s">
        <v>155</v>
      </c>
      <c r="K37" s="138"/>
    </row>
    <row r="38" spans="1:11" ht="11.25">
      <c r="A38" s="147" t="s">
        <v>102</v>
      </c>
      <c r="B38" s="138"/>
      <c r="D38" s="137" t="s">
        <v>162</v>
      </c>
      <c r="E38" s="139" t="s">
        <v>419</v>
      </c>
      <c r="F38" s="139" t="s">
        <v>420</v>
      </c>
      <c r="G38" s="140" t="s">
        <v>673</v>
      </c>
      <c r="H38" s="141">
        <v>3</v>
      </c>
      <c r="I38" s="141">
        <v>1.5</v>
      </c>
      <c r="J38" s="140" t="s">
        <v>9</v>
      </c>
      <c r="K38" s="138"/>
    </row>
    <row r="39" spans="1:11" ht="11.25">
      <c r="A39" s="147" t="s">
        <v>22</v>
      </c>
      <c r="B39" s="138"/>
      <c r="D39" s="137" t="s">
        <v>188</v>
      </c>
      <c r="E39" s="139" t="s">
        <v>422</v>
      </c>
      <c r="F39" s="139" t="s">
        <v>423</v>
      </c>
      <c r="G39" s="140" t="s">
        <v>673</v>
      </c>
      <c r="H39" s="141">
        <v>0</v>
      </c>
      <c r="I39" s="141">
        <v>4</v>
      </c>
      <c r="J39" s="140" t="s">
        <v>9</v>
      </c>
      <c r="K39" s="138"/>
    </row>
    <row r="40" spans="1:11" ht="11.25">
      <c r="A40" s="147" t="s">
        <v>504</v>
      </c>
      <c r="B40" s="138"/>
      <c r="D40" s="137" t="s">
        <v>299</v>
      </c>
      <c r="E40" s="141">
        <f>""</f>
      </c>
      <c r="F40" s="145" t="s">
        <v>419</v>
      </c>
      <c r="G40" s="140" t="s">
        <v>673</v>
      </c>
      <c r="H40" s="141">
        <v>0</v>
      </c>
      <c r="I40" s="141">
        <f>""</f>
      </c>
      <c r="J40" s="140" t="s">
        <v>9</v>
      </c>
      <c r="K40" s="138"/>
    </row>
    <row r="41" spans="1:11" ht="11.25">
      <c r="A41" s="147" t="s">
        <v>501</v>
      </c>
      <c r="B41" s="138"/>
      <c r="D41" s="137" t="s">
        <v>686</v>
      </c>
      <c r="E41" s="139" t="s">
        <v>418</v>
      </c>
      <c r="F41" s="139" t="s">
        <v>419</v>
      </c>
      <c r="G41" s="140" t="s">
        <v>684</v>
      </c>
      <c r="H41" s="141">
        <v>0</v>
      </c>
      <c r="I41" s="141">
        <v>1.5</v>
      </c>
      <c r="J41" s="140" t="s">
        <v>155</v>
      </c>
      <c r="K41" s="138"/>
    </row>
    <row r="42" spans="1:11" ht="11.25">
      <c r="A42" s="147" t="s">
        <v>500</v>
      </c>
      <c r="B42" s="138"/>
      <c r="D42" s="137" t="s">
        <v>685</v>
      </c>
      <c r="E42" s="139" t="s">
        <v>419</v>
      </c>
      <c r="F42" s="139" t="s">
        <v>420</v>
      </c>
      <c r="G42" s="140" t="s">
        <v>684</v>
      </c>
      <c r="H42" s="141">
        <v>0</v>
      </c>
      <c r="I42" s="141">
        <v>3</v>
      </c>
      <c r="J42" s="140" t="s">
        <v>155</v>
      </c>
      <c r="K42" s="138"/>
    </row>
    <row r="43" spans="1:11" ht="11.25">
      <c r="A43" s="147" t="s">
        <v>79</v>
      </c>
      <c r="B43" s="138"/>
      <c r="D43" s="137" t="s">
        <v>174</v>
      </c>
      <c r="E43" s="139" t="s">
        <v>418</v>
      </c>
      <c r="F43" s="139" t="s">
        <v>419</v>
      </c>
      <c r="G43" s="140" t="s">
        <v>674</v>
      </c>
      <c r="H43" s="141">
        <v>0</v>
      </c>
      <c r="I43" s="141">
        <v>1</v>
      </c>
      <c r="J43" s="140" t="s">
        <v>7</v>
      </c>
      <c r="K43" s="138"/>
    </row>
    <row r="44" spans="1:11" ht="11.25">
      <c r="A44" s="147" t="s">
        <v>509</v>
      </c>
      <c r="B44" s="138"/>
      <c r="D44" s="137" t="s">
        <v>393</v>
      </c>
      <c r="E44" s="139" t="s">
        <v>420</v>
      </c>
      <c r="F44" s="139" t="s">
        <v>422</v>
      </c>
      <c r="G44" s="140" t="s">
        <v>671</v>
      </c>
      <c r="H44" s="141">
        <v>0</v>
      </c>
      <c r="I44" s="141">
        <v>5</v>
      </c>
      <c r="J44" s="140" t="s">
        <v>155</v>
      </c>
      <c r="K44" s="138"/>
    </row>
    <row r="45" spans="1:11" ht="11.25">
      <c r="A45" s="147" t="s">
        <v>19</v>
      </c>
      <c r="B45" s="138" t="b">
        <v>0</v>
      </c>
      <c r="D45" s="137" t="s">
        <v>164</v>
      </c>
      <c r="E45" s="139" t="s">
        <v>420</v>
      </c>
      <c r="F45" s="139" t="s">
        <v>422</v>
      </c>
      <c r="G45" s="140" t="s">
        <v>673</v>
      </c>
      <c r="H45" s="141">
        <v>0</v>
      </c>
      <c r="I45" s="141">
        <v>3</v>
      </c>
      <c r="J45" s="140" t="s">
        <v>10</v>
      </c>
      <c r="K45" s="138"/>
    </row>
    <row r="46" spans="1:11" ht="11.25">
      <c r="A46" s="147" t="s">
        <v>103</v>
      </c>
      <c r="B46" s="138"/>
      <c r="D46" s="137" t="s">
        <v>415</v>
      </c>
      <c r="E46" s="139" t="s">
        <v>426</v>
      </c>
      <c r="F46" s="139" t="s">
        <v>426</v>
      </c>
      <c r="G46" s="140" t="s">
        <v>673</v>
      </c>
      <c r="H46" s="141">
        <v>3</v>
      </c>
      <c r="I46" s="141">
        <v>0</v>
      </c>
      <c r="J46" s="140" t="s">
        <v>9</v>
      </c>
      <c r="K46" s="138"/>
    </row>
    <row r="47" spans="1:11" ht="11.25">
      <c r="A47" s="147" t="s">
        <v>104</v>
      </c>
      <c r="B47" s="138"/>
      <c r="D47" s="137" t="s">
        <v>401</v>
      </c>
      <c r="E47" s="139" t="s">
        <v>419</v>
      </c>
      <c r="F47" s="139" t="s">
        <v>420</v>
      </c>
      <c r="G47" s="140" t="s">
        <v>673</v>
      </c>
      <c r="H47" s="141">
        <v>0</v>
      </c>
      <c r="I47" s="141">
        <v>1</v>
      </c>
      <c r="J47" s="140" t="s">
        <v>9</v>
      </c>
      <c r="K47" s="138"/>
    </row>
    <row r="48" spans="1:11" ht="11.25">
      <c r="A48" s="147" t="s">
        <v>519</v>
      </c>
      <c r="B48" s="138"/>
      <c r="D48" s="137" t="s">
        <v>157</v>
      </c>
      <c r="E48" s="139" t="s">
        <v>417</v>
      </c>
      <c r="F48" s="139" t="s">
        <v>418</v>
      </c>
      <c r="G48" s="140" t="s">
        <v>673</v>
      </c>
      <c r="H48" s="141">
        <v>0</v>
      </c>
      <c r="I48" s="141">
        <v>0.5</v>
      </c>
      <c r="J48" s="140" t="s">
        <v>9</v>
      </c>
      <c r="K48" s="138"/>
    </row>
    <row r="49" spans="1:11" ht="11.25">
      <c r="A49" s="147" t="s">
        <v>127</v>
      </c>
      <c r="B49" s="138"/>
      <c r="D49" s="137" t="s">
        <v>405</v>
      </c>
      <c r="E49" s="139" t="s">
        <v>417</v>
      </c>
      <c r="F49" s="139" t="s">
        <v>418</v>
      </c>
      <c r="G49" s="140" t="s">
        <v>673</v>
      </c>
      <c r="H49" s="141">
        <v>0</v>
      </c>
      <c r="I49" s="141">
        <v>1</v>
      </c>
      <c r="J49" s="140" t="s">
        <v>7</v>
      </c>
      <c r="K49" s="138"/>
    </row>
    <row r="50" spans="1:11" ht="11.25">
      <c r="A50" s="147" t="s">
        <v>93</v>
      </c>
      <c r="B50" s="138" t="b">
        <v>0</v>
      </c>
      <c r="D50" s="137" t="s">
        <v>394</v>
      </c>
      <c r="E50" s="139" t="s">
        <v>420</v>
      </c>
      <c r="F50" s="139" t="s">
        <v>427</v>
      </c>
      <c r="G50" s="140" t="s">
        <v>671</v>
      </c>
      <c r="H50" s="141">
        <v>0</v>
      </c>
      <c r="I50" s="141">
        <v>6</v>
      </c>
      <c r="J50" s="140" t="s">
        <v>155</v>
      </c>
      <c r="K50" s="138"/>
    </row>
    <row r="51" spans="1:11" ht="11.25">
      <c r="A51" s="147" t="s">
        <v>512</v>
      </c>
      <c r="B51" s="138" t="b">
        <v>0</v>
      </c>
      <c r="D51" s="137" t="s">
        <v>181</v>
      </c>
      <c r="E51" s="139" t="s">
        <v>419</v>
      </c>
      <c r="F51" s="139" t="s">
        <v>420</v>
      </c>
      <c r="G51" s="140" t="s">
        <v>674</v>
      </c>
      <c r="H51" s="141">
        <v>0</v>
      </c>
      <c r="I51" s="141">
        <v>1</v>
      </c>
      <c r="J51" s="140" t="s">
        <v>155</v>
      </c>
      <c r="K51" s="138"/>
    </row>
    <row r="52" spans="1:11" ht="11.25">
      <c r="A52" s="147" t="s">
        <v>510</v>
      </c>
      <c r="B52" s="138"/>
      <c r="D52" s="137" t="s">
        <v>177</v>
      </c>
      <c r="E52" s="139" t="s">
        <v>419</v>
      </c>
      <c r="F52" s="139" t="s">
        <v>420</v>
      </c>
      <c r="G52" s="140" t="s">
        <v>673</v>
      </c>
      <c r="H52" s="141">
        <v>0</v>
      </c>
      <c r="I52" s="141" t="s">
        <v>440</v>
      </c>
      <c r="J52" s="140" t="s">
        <v>155</v>
      </c>
      <c r="K52" s="138"/>
    </row>
    <row r="53" spans="1:11" ht="11.25">
      <c r="A53" s="147" t="s">
        <v>81</v>
      </c>
      <c r="B53" s="138"/>
      <c r="D53" s="137" t="s">
        <v>182</v>
      </c>
      <c r="E53" s="139" t="s">
        <v>419</v>
      </c>
      <c r="F53" s="139" t="s">
        <v>420</v>
      </c>
      <c r="G53" s="140" t="s">
        <v>674</v>
      </c>
      <c r="H53" s="141">
        <v>0</v>
      </c>
      <c r="I53" s="141">
        <v>2</v>
      </c>
      <c r="J53" s="140" t="s">
        <v>7</v>
      </c>
      <c r="K53" s="138"/>
    </row>
    <row r="54" spans="1:11" ht="11.25">
      <c r="A54" s="147" t="s">
        <v>80</v>
      </c>
      <c r="B54" s="138"/>
      <c r="D54" s="137" t="s">
        <v>402</v>
      </c>
      <c r="E54" s="139" t="s">
        <v>418</v>
      </c>
      <c r="F54" s="139" t="s">
        <v>419</v>
      </c>
      <c r="G54" s="140" t="s">
        <v>673</v>
      </c>
      <c r="H54" s="141">
        <v>3</v>
      </c>
      <c r="I54" s="141">
        <v>0.5</v>
      </c>
      <c r="J54" s="140" t="s">
        <v>9</v>
      </c>
      <c r="K54" s="138"/>
    </row>
    <row r="55" spans="1:11" ht="11.25">
      <c r="A55" s="147" t="s">
        <v>491</v>
      </c>
      <c r="B55" s="138" t="b">
        <v>0</v>
      </c>
      <c r="D55" s="137" t="s">
        <v>175</v>
      </c>
      <c r="E55" s="139" t="s">
        <v>419</v>
      </c>
      <c r="F55" s="139" t="s">
        <v>420</v>
      </c>
      <c r="G55" s="140" t="s">
        <v>673</v>
      </c>
      <c r="H55" s="141">
        <v>0</v>
      </c>
      <c r="I55" s="141">
        <v>1</v>
      </c>
      <c r="J55" s="140" t="s">
        <v>9</v>
      </c>
      <c r="K55" s="138"/>
    </row>
    <row r="56" spans="1:11" ht="11.25">
      <c r="A56" s="147" t="s">
        <v>83</v>
      </c>
      <c r="B56" s="138"/>
      <c r="D56" s="137" t="s">
        <v>184</v>
      </c>
      <c r="E56" s="139" t="s">
        <v>418</v>
      </c>
      <c r="F56" s="139" t="s">
        <v>419</v>
      </c>
      <c r="G56" s="140" t="s">
        <v>673</v>
      </c>
      <c r="H56" s="141">
        <v>0</v>
      </c>
      <c r="I56" s="141" t="s">
        <v>440</v>
      </c>
      <c r="J56" s="140" t="s">
        <v>155</v>
      </c>
      <c r="K56" s="138"/>
    </row>
    <row r="57" spans="1:11" ht="11.25">
      <c r="A57" s="147" t="s">
        <v>92</v>
      </c>
      <c r="B57" s="138" t="b">
        <v>0</v>
      </c>
      <c r="D57" s="137" t="s">
        <v>185</v>
      </c>
      <c r="E57" s="139" t="s">
        <v>419</v>
      </c>
      <c r="F57" s="139" t="s">
        <v>420</v>
      </c>
      <c r="G57" s="140" t="s">
        <v>673</v>
      </c>
      <c r="H57" s="141">
        <v>0</v>
      </c>
      <c r="I57" s="141" t="s">
        <v>440</v>
      </c>
      <c r="J57" s="140" t="s">
        <v>155</v>
      </c>
      <c r="K57" s="138"/>
    </row>
    <row r="58" spans="1:11" ht="11.25">
      <c r="A58" s="147" t="s">
        <v>507</v>
      </c>
      <c r="B58" s="138" t="b">
        <v>0</v>
      </c>
      <c r="D58" s="137" t="s">
        <v>176</v>
      </c>
      <c r="E58" s="139" t="s">
        <v>417</v>
      </c>
      <c r="F58" s="139" t="s">
        <v>418</v>
      </c>
      <c r="G58" s="140" t="s">
        <v>673</v>
      </c>
      <c r="H58" s="141">
        <v>0</v>
      </c>
      <c r="I58" s="141" t="s">
        <v>440</v>
      </c>
      <c r="J58" s="140" t="s">
        <v>9</v>
      </c>
      <c r="K58" s="138"/>
    </row>
    <row r="59" spans="1:11" ht="11.25">
      <c r="A59" s="147" t="s">
        <v>82</v>
      </c>
      <c r="B59" s="138"/>
      <c r="D59" s="137" t="s">
        <v>183</v>
      </c>
      <c r="E59" s="139" t="s">
        <v>418</v>
      </c>
      <c r="F59" s="139" t="s">
        <v>419</v>
      </c>
      <c r="G59" s="140" t="s">
        <v>673</v>
      </c>
      <c r="H59" s="141">
        <v>0</v>
      </c>
      <c r="I59" s="141" t="s">
        <v>440</v>
      </c>
      <c r="J59" s="140" t="s">
        <v>9</v>
      </c>
      <c r="K59" s="138"/>
    </row>
    <row r="60" spans="1:11" ht="11.25">
      <c r="A60" s="147" t="s">
        <v>513</v>
      </c>
      <c r="B60" s="138" t="b">
        <v>0</v>
      </c>
      <c r="D60" s="137" t="s">
        <v>172</v>
      </c>
      <c r="E60" s="139" t="s">
        <v>418</v>
      </c>
      <c r="F60" s="139" t="s">
        <v>419</v>
      </c>
      <c r="G60" s="140" t="s">
        <v>673</v>
      </c>
      <c r="H60" s="141">
        <v>15</v>
      </c>
      <c r="I60" s="141">
        <v>0</v>
      </c>
      <c r="J60" s="140" t="s">
        <v>9</v>
      </c>
      <c r="K60" s="138"/>
    </row>
    <row r="61" spans="1:11" ht="11.25">
      <c r="A61" s="147" t="s">
        <v>514</v>
      </c>
      <c r="B61" s="138"/>
      <c r="D61" s="137" t="s">
        <v>404</v>
      </c>
      <c r="E61" s="139" t="s">
        <v>422</v>
      </c>
      <c r="F61" s="139" t="s">
        <v>423</v>
      </c>
      <c r="G61" s="140" t="s">
        <v>670</v>
      </c>
      <c r="H61" s="141">
        <v>0</v>
      </c>
      <c r="I61" s="141">
        <v>3</v>
      </c>
      <c r="J61" s="140" t="s">
        <v>7</v>
      </c>
      <c r="K61" s="138"/>
    </row>
    <row r="62" spans="1:11" ht="11.25">
      <c r="A62" s="147" t="s">
        <v>518</v>
      </c>
      <c r="B62" s="138"/>
      <c r="D62" s="137" t="s">
        <v>409</v>
      </c>
      <c r="E62" s="139" t="s">
        <v>424</v>
      </c>
      <c r="F62" s="139" t="s">
        <v>430</v>
      </c>
      <c r="G62" s="140" t="s">
        <v>670</v>
      </c>
      <c r="H62" s="141">
        <v>0</v>
      </c>
      <c r="I62" s="141">
        <v>5</v>
      </c>
      <c r="J62" s="140" t="s">
        <v>7</v>
      </c>
      <c r="K62" s="138"/>
    </row>
    <row r="63" spans="1:11" ht="11.25">
      <c r="A63" s="147" t="s">
        <v>516</v>
      </c>
      <c r="B63" s="138"/>
      <c r="D63" s="137" t="s">
        <v>179</v>
      </c>
      <c r="E63" s="139" t="s">
        <v>419</v>
      </c>
      <c r="F63" s="139" t="s">
        <v>420</v>
      </c>
      <c r="G63" s="140" t="s">
        <v>670</v>
      </c>
      <c r="H63" s="141">
        <v>0</v>
      </c>
      <c r="I63" s="141">
        <v>1</v>
      </c>
      <c r="J63" s="140" t="s">
        <v>155</v>
      </c>
      <c r="K63" s="138"/>
    </row>
    <row r="64" spans="1:11" ht="11.25">
      <c r="A64" s="147" t="s">
        <v>527</v>
      </c>
      <c r="B64" s="138" t="b">
        <v>0</v>
      </c>
      <c r="D64" s="137" t="s">
        <v>180</v>
      </c>
      <c r="E64" s="139" t="s">
        <v>420</v>
      </c>
      <c r="F64" s="139" t="s">
        <v>422</v>
      </c>
      <c r="G64" s="140" t="s">
        <v>670</v>
      </c>
      <c r="H64" s="141">
        <v>0</v>
      </c>
      <c r="I64" s="141">
        <v>2</v>
      </c>
      <c r="J64" s="140" t="s">
        <v>7</v>
      </c>
      <c r="K64" s="138"/>
    </row>
    <row r="65" spans="1:11" ht="11.25">
      <c r="A65" s="147" t="s">
        <v>503</v>
      </c>
      <c r="B65" s="138"/>
      <c r="D65" s="137" t="s">
        <v>391</v>
      </c>
      <c r="E65" s="139" t="s">
        <v>423</v>
      </c>
      <c r="F65" s="139" t="s">
        <v>429</v>
      </c>
      <c r="G65" s="140" t="s">
        <v>670</v>
      </c>
      <c r="H65" s="141">
        <v>0</v>
      </c>
      <c r="I65" s="141">
        <v>4</v>
      </c>
      <c r="J65" s="140" t="s">
        <v>7</v>
      </c>
      <c r="K65" s="138"/>
    </row>
    <row r="66" spans="1:11" ht="11.25">
      <c r="A66" s="147" t="s">
        <v>505</v>
      </c>
      <c r="B66" s="138"/>
      <c r="D66" s="137" t="s">
        <v>395</v>
      </c>
      <c r="E66" s="139" t="s">
        <v>420</v>
      </c>
      <c r="F66" s="139" t="s">
        <v>427</v>
      </c>
      <c r="G66" s="140" t="s">
        <v>684</v>
      </c>
      <c r="H66" s="141">
        <v>0</v>
      </c>
      <c r="I66" s="141">
        <v>5</v>
      </c>
      <c r="J66" s="140" t="s">
        <v>8</v>
      </c>
      <c r="K66" s="138"/>
    </row>
    <row r="67" spans="1:11" ht="11.25">
      <c r="A67" s="148" t="s">
        <v>508</v>
      </c>
      <c r="B67" s="143" t="b">
        <v>0</v>
      </c>
      <c r="D67" s="137" t="s">
        <v>300</v>
      </c>
      <c r="E67" s="139" t="s">
        <v>422</v>
      </c>
      <c r="F67" s="145" t="s">
        <v>423</v>
      </c>
      <c r="G67" s="140" t="s">
        <v>670</v>
      </c>
      <c r="H67" s="141">
        <v>0</v>
      </c>
      <c r="I67" s="141">
        <v>5</v>
      </c>
      <c r="J67" s="140" t="s">
        <v>7</v>
      </c>
      <c r="K67" s="138"/>
    </row>
    <row r="68" spans="4:11" ht="11.25">
      <c r="D68" s="137" t="s">
        <v>416</v>
      </c>
      <c r="E68" s="140">
        <v>1</v>
      </c>
      <c r="F68" s="139" t="s">
        <v>417</v>
      </c>
      <c r="G68" s="140" t="s">
        <v>673</v>
      </c>
      <c r="H68" s="141">
        <v>3</v>
      </c>
      <c r="I68" s="141">
        <v>0.25</v>
      </c>
      <c r="J68" s="140" t="s">
        <v>155</v>
      </c>
      <c r="K68" s="138"/>
    </row>
    <row r="69" spans="1:11" ht="11.25">
      <c r="A69" s="132" t="s">
        <v>443</v>
      </c>
      <c r="B69" s="154" t="s">
        <v>123</v>
      </c>
      <c r="C69" s="133">
        <v>4</v>
      </c>
      <c r="D69" s="139" t="s">
        <v>403</v>
      </c>
      <c r="E69" s="139" t="s">
        <v>419</v>
      </c>
      <c r="F69" s="139" t="s">
        <v>420</v>
      </c>
      <c r="G69" s="140" t="s">
        <v>673</v>
      </c>
      <c r="H69" s="141">
        <v>0</v>
      </c>
      <c r="I69" s="141">
        <v>0.5</v>
      </c>
      <c r="J69" s="140" t="s">
        <v>155</v>
      </c>
      <c r="K69" s="138"/>
    </row>
    <row r="70" spans="1:11" ht="11.25">
      <c r="A70" s="137" t="s">
        <v>444</v>
      </c>
      <c r="B70" s="139">
        <v>0.1</v>
      </c>
      <c r="C70" s="138">
        <v>4</v>
      </c>
      <c r="D70" s="139" t="s">
        <v>161</v>
      </c>
      <c r="E70" s="139" t="s">
        <v>419</v>
      </c>
      <c r="F70" s="139" t="s">
        <v>420</v>
      </c>
      <c r="G70" s="140" t="s">
        <v>673</v>
      </c>
      <c r="H70" s="141">
        <v>0</v>
      </c>
      <c r="I70" s="141">
        <v>1</v>
      </c>
      <c r="J70" s="140" t="s">
        <v>7</v>
      </c>
      <c r="K70" s="138"/>
    </row>
    <row r="71" spans="1:11" ht="11.25">
      <c r="A71" s="137" t="s">
        <v>445</v>
      </c>
      <c r="B71" s="139">
        <v>0.075</v>
      </c>
      <c r="C71" s="138">
        <v>4</v>
      </c>
      <c r="D71" s="139" t="s">
        <v>168</v>
      </c>
      <c r="E71" s="139" t="s">
        <v>420</v>
      </c>
      <c r="F71" s="139" t="s">
        <v>422</v>
      </c>
      <c r="G71" s="140" t="s">
        <v>671</v>
      </c>
      <c r="H71" s="141">
        <v>6</v>
      </c>
      <c r="I71" s="141">
        <v>3</v>
      </c>
      <c r="J71" s="140" t="s">
        <v>155</v>
      </c>
      <c r="K71" s="138"/>
    </row>
    <row r="72" spans="1:11" ht="11.25">
      <c r="A72" s="137" t="s">
        <v>446</v>
      </c>
      <c r="B72" s="139">
        <v>0.5</v>
      </c>
      <c r="C72" s="138"/>
      <c r="D72" s="139" t="s">
        <v>165</v>
      </c>
      <c r="E72" s="139" t="s">
        <v>419</v>
      </c>
      <c r="F72" s="139" t="s">
        <v>420</v>
      </c>
      <c r="G72" s="140" t="s">
        <v>673</v>
      </c>
      <c r="H72" s="141">
        <v>6</v>
      </c>
      <c r="I72" s="141">
        <v>1.5</v>
      </c>
      <c r="J72" s="140" t="s">
        <v>155</v>
      </c>
      <c r="K72" s="138"/>
    </row>
    <row r="73" spans="1:11" ht="11.25">
      <c r="A73" s="149" t="s">
        <v>434</v>
      </c>
      <c r="B73" s="156"/>
      <c r="C73" s="143"/>
      <c r="D73" s="139" t="s">
        <v>166</v>
      </c>
      <c r="E73" s="139" t="s">
        <v>420</v>
      </c>
      <c r="F73" s="139" t="s">
        <v>422</v>
      </c>
      <c r="G73" s="140" t="s">
        <v>671</v>
      </c>
      <c r="H73" s="141">
        <v>0</v>
      </c>
      <c r="I73" s="141">
        <v>4.5</v>
      </c>
      <c r="J73" s="140" t="s">
        <v>155</v>
      </c>
      <c r="K73" s="138"/>
    </row>
    <row r="74" spans="1:11" ht="11.25">
      <c r="A74" s="139"/>
      <c r="B74" s="139"/>
      <c r="D74" s="137" t="s">
        <v>441</v>
      </c>
      <c r="E74" s="139" t="s">
        <v>419</v>
      </c>
      <c r="F74" s="139" t="s">
        <v>420</v>
      </c>
      <c r="G74" s="140" t="s">
        <v>673</v>
      </c>
      <c r="H74" s="141">
        <v>9</v>
      </c>
      <c r="I74" s="141">
        <v>1</v>
      </c>
      <c r="J74" s="140" t="s">
        <v>155</v>
      </c>
      <c r="K74" s="138"/>
    </row>
    <row r="75" spans="1:11" ht="11.25">
      <c r="A75" s="139"/>
      <c r="B75" s="139"/>
      <c r="D75" s="137" t="s">
        <v>159</v>
      </c>
      <c r="E75" s="139" t="s">
        <v>418</v>
      </c>
      <c r="F75" s="139" t="s">
        <v>419</v>
      </c>
      <c r="G75" s="140" t="s">
        <v>671</v>
      </c>
      <c r="H75" s="141">
        <v>0</v>
      </c>
      <c r="I75" s="141">
        <v>0.5</v>
      </c>
      <c r="J75" s="140" t="s">
        <v>155</v>
      </c>
      <c r="K75" s="138"/>
    </row>
    <row r="76" spans="1:11" ht="11.25">
      <c r="A76" s="139"/>
      <c r="B76" s="139"/>
      <c r="D76" s="137" t="s">
        <v>160</v>
      </c>
      <c r="E76" s="139" t="s">
        <v>419</v>
      </c>
      <c r="F76" s="139" t="s">
        <v>420</v>
      </c>
      <c r="G76" s="140" t="s">
        <v>673</v>
      </c>
      <c r="H76" s="141">
        <v>0</v>
      </c>
      <c r="I76" s="141">
        <v>2</v>
      </c>
      <c r="J76" s="140" t="s">
        <v>155</v>
      </c>
      <c r="K76" s="138"/>
    </row>
    <row r="77" spans="1:11" ht="11.25">
      <c r="A77" s="139"/>
      <c r="B77" s="139"/>
      <c r="D77" s="137" t="s">
        <v>163</v>
      </c>
      <c r="E77" s="139" t="s">
        <v>420</v>
      </c>
      <c r="F77" s="139" t="s">
        <v>422</v>
      </c>
      <c r="G77" s="140" t="s">
        <v>673</v>
      </c>
      <c r="H77" s="141">
        <v>0</v>
      </c>
      <c r="I77" s="141">
        <v>4</v>
      </c>
      <c r="J77" s="140" t="s">
        <v>9</v>
      </c>
      <c r="K77" s="138"/>
    </row>
    <row r="78" spans="1:11" ht="11.25">
      <c r="A78" s="139"/>
      <c r="B78" s="139"/>
      <c r="D78" s="137" t="s">
        <v>301</v>
      </c>
      <c r="E78" s="139" t="s">
        <v>422</v>
      </c>
      <c r="F78" s="145" t="s">
        <v>423</v>
      </c>
      <c r="G78" s="140" t="s">
        <v>674</v>
      </c>
      <c r="H78" s="141">
        <v>0</v>
      </c>
      <c r="I78" s="141">
        <v>4</v>
      </c>
      <c r="J78" s="140" t="s">
        <v>7</v>
      </c>
      <c r="K78" s="138"/>
    </row>
    <row r="79" spans="1:11" ht="11.25">
      <c r="A79" s="139"/>
      <c r="B79" s="139"/>
      <c r="D79" s="137" t="s">
        <v>410</v>
      </c>
      <c r="E79" s="139" t="s">
        <v>425</v>
      </c>
      <c r="F79" s="139" t="s">
        <v>431</v>
      </c>
      <c r="G79" s="140" t="s">
        <v>671</v>
      </c>
      <c r="H79" s="141">
        <v>0</v>
      </c>
      <c r="I79" s="141">
        <v>6</v>
      </c>
      <c r="J79" s="140" t="s">
        <v>8</v>
      </c>
      <c r="K79" s="138"/>
    </row>
    <row r="80" spans="1:11" ht="11.25">
      <c r="A80" s="139"/>
      <c r="B80" s="139"/>
      <c r="D80" s="137" t="s">
        <v>540</v>
      </c>
      <c r="E80" s="139" t="s">
        <v>417</v>
      </c>
      <c r="F80" s="139" t="s">
        <v>418</v>
      </c>
      <c r="G80" s="140" t="s">
        <v>673</v>
      </c>
      <c r="H80" s="141">
        <v>0</v>
      </c>
      <c r="I80" s="141">
        <v>0</v>
      </c>
      <c r="J80" s="140" t="s">
        <v>9</v>
      </c>
      <c r="K80" s="138"/>
    </row>
    <row r="81" spans="1:11" ht="11.25">
      <c r="A81" s="139"/>
      <c r="B81" s="139"/>
      <c r="D81" s="137" t="s">
        <v>297</v>
      </c>
      <c r="E81" s="141">
        <f>""</f>
      </c>
      <c r="F81" s="145" t="s">
        <v>419</v>
      </c>
      <c r="G81" s="140" t="s">
        <v>673</v>
      </c>
      <c r="H81" s="141">
        <v>0</v>
      </c>
      <c r="I81" s="141">
        <v>0</v>
      </c>
      <c r="J81" s="140" t="s">
        <v>9</v>
      </c>
      <c r="K81" s="138"/>
    </row>
    <row r="82" spans="1:11" ht="11.25">
      <c r="A82" s="139"/>
      <c r="B82" s="139"/>
      <c r="D82" s="137" t="s">
        <v>171</v>
      </c>
      <c r="E82" s="139" t="s">
        <v>418</v>
      </c>
      <c r="F82" s="139" t="s">
        <v>419</v>
      </c>
      <c r="G82" s="140" t="s">
        <v>673</v>
      </c>
      <c r="H82" s="141">
        <v>6</v>
      </c>
      <c r="I82" s="141">
        <v>0.25</v>
      </c>
      <c r="J82" s="140" t="s">
        <v>155</v>
      </c>
      <c r="K82" s="138"/>
    </row>
    <row r="83" spans="4:11" ht="11.25">
      <c r="D83" s="149" t="s">
        <v>434</v>
      </c>
      <c r="E83" s="150" t="str">
        <f>" "</f>
        <v> </v>
      </c>
      <c r="F83" s="150" t="str">
        <f>" "</f>
        <v> </v>
      </c>
      <c r="G83" s="150">
        <f>""</f>
      </c>
      <c r="H83" s="150">
        <v>0</v>
      </c>
      <c r="I83" s="150">
        <v>0</v>
      </c>
      <c r="J83" s="150">
        <f>""</f>
      </c>
      <c r="K83" s="143"/>
    </row>
    <row r="84" ht="11.25">
      <c r="A84" s="151" t="s">
        <v>486</v>
      </c>
    </row>
    <row r="85" spans="1:14" ht="11.25">
      <c r="A85" s="153">
        <v>1.5</v>
      </c>
      <c r="H85" s="176" t="s">
        <v>443</v>
      </c>
      <c r="I85" s="181"/>
      <c r="J85" s="154"/>
      <c r="K85" s="154"/>
      <c r="L85" s="154"/>
      <c r="M85" s="154"/>
      <c r="N85" s="133"/>
    </row>
    <row r="86" spans="1:14" ht="11.25">
      <c r="A86" s="153">
        <v>3</v>
      </c>
      <c r="H86" s="177">
        <v>1</v>
      </c>
      <c r="I86" s="141" t="b">
        <v>0</v>
      </c>
      <c r="J86" s="139" t="b">
        <v>0</v>
      </c>
      <c r="K86" s="139" t="b">
        <v>0</v>
      </c>
      <c r="L86" s="139">
        <f>IF(I86=TRUE,1,0)</f>
        <v>0</v>
      </c>
      <c r="M86" s="139">
        <f>IF(J86=TRUE,1,0)</f>
        <v>0</v>
      </c>
      <c r="N86" s="138">
        <f>IF(K86=TRUE,1,0)</f>
        <v>0</v>
      </c>
    </row>
    <row r="87" spans="1:14" ht="11.25">
      <c r="A87" s="153">
        <v>5</v>
      </c>
      <c r="H87" s="177">
        <v>2</v>
      </c>
      <c r="I87" s="141" t="b">
        <v>0</v>
      </c>
      <c r="J87" s="139" t="b">
        <v>0</v>
      </c>
      <c r="K87" s="139" t="b">
        <v>0</v>
      </c>
      <c r="L87" s="139">
        <f aca="true" t="shared" si="0" ref="L87:L105">IF(I87=TRUE,1,0)</f>
        <v>0</v>
      </c>
      <c r="M87" s="139">
        <f aca="true" t="shared" si="1" ref="M87:M105">IF(J87=TRUE,1,0)</f>
        <v>0</v>
      </c>
      <c r="N87" s="138">
        <f aca="true" t="shared" si="2" ref="N87:N105">IF(K87=TRUE,1,0)</f>
        <v>0</v>
      </c>
    </row>
    <row r="88" spans="1:14" ht="11.25">
      <c r="A88" s="153">
        <v>6.5</v>
      </c>
      <c r="H88" s="177">
        <v>3</v>
      </c>
      <c r="I88" s="141" t="b">
        <v>0</v>
      </c>
      <c r="J88" s="139" t="b">
        <v>0</v>
      </c>
      <c r="K88" s="139" t="b">
        <v>0</v>
      </c>
      <c r="L88" s="139">
        <f t="shared" si="0"/>
        <v>0</v>
      </c>
      <c r="M88" s="139">
        <f t="shared" si="1"/>
        <v>0</v>
      </c>
      <c r="N88" s="138">
        <f t="shared" si="2"/>
        <v>0</v>
      </c>
    </row>
    <row r="89" spans="1:14" ht="11.25">
      <c r="A89" s="153">
        <v>8</v>
      </c>
      <c r="H89" s="177">
        <v>4</v>
      </c>
      <c r="I89" s="141" t="b">
        <v>0</v>
      </c>
      <c r="J89" s="139" t="b">
        <v>0</v>
      </c>
      <c r="K89" s="139" t="b">
        <v>0</v>
      </c>
      <c r="L89" s="139">
        <f t="shared" si="0"/>
        <v>0</v>
      </c>
      <c r="M89" s="139">
        <f t="shared" si="1"/>
        <v>0</v>
      </c>
      <c r="N89" s="138">
        <f t="shared" si="2"/>
        <v>0</v>
      </c>
    </row>
    <row r="90" spans="1:14" ht="11.25">
      <c r="A90" s="153">
        <v>10</v>
      </c>
      <c r="H90" s="177">
        <v>5</v>
      </c>
      <c r="I90" s="141" t="b">
        <v>0</v>
      </c>
      <c r="J90" s="139" t="b">
        <v>0</v>
      </c>
      <c r="K90" s="139" t="b">
        <v>0</v>
      </c>
      <c r="L90" s="139">
        <f t="shared" si="0"/>
        <v>0</v>
      </c>
      <c r="M90" s="139">
        <f t="shared" si="1"/>
        <v>0</v>
      </c>
      <c r="N90" s="138">
        <f t="shared" si="2"/>
        <v>0</v>
      </c>
    </row>
    <row r="91" spans="1:14" ht="11.25">
      <c r="A91" s="153">
        <v>11.5</v>
      </c>
      <c r="H91" s="177">
        <v>6</v>
      </c>
      <c r="I91" s="141" t="b">
        <v>0</v>
      </c>
      <c r="J91" s="139" t="b">
        <v>0</v>
      </c>
      <c r="K91" s="139" t="b">
        <v>0</v>
      </c>
      <c r="L91" s="139">
        <f t="shared" si="0"/>
        <v>0</v>
      </c>
      <c r="M91" s="139">
        <f t="shared" si="1"/>
        <v>0</v>
      </c>
      <c r="N91" s="138">
        <f t="shared" si="2"/>
        <v>0</v>
      </c>
    </row>
    <row r="92" spans="1:14" ht="11.25">
      <c r="A92" s="153">
        <v>11.5</v>
      </c>
      <c r="H92" s="177">
        <v>7</v>
      </c>
      <c r="I92" s="141" t="b">
        <v>0</v>
      </c>
      <c r="J92" s="139" t="b">
        <v>0</v>
      </c>
      <c r="K92" s="139" t="b">
        <v>0</v>
      </c>
      <c r="L92" s="139">
        <f t="shared" si="0"/>
        <v>0</v>
      </c>
      <c r="M92" s="139">
        <f t="shared" si="1"/>
        <v>0</v>
      </c>
      <c r="N92" s="138">
        <f t="shared" si="2"/>
        <v>0</v>
      </c>
    </row>
    <row r="93" spans="1:14" ht="11.25">
      <c r="A93" s="153">
        <v>13</v>
      </c>
      <c r="H93" s="177">
        <v>8</v>
      </c>
      <c r="I93" s="141" t="b">
        <v>0</v>
      </c>
      <c r="J93" s="139" t="b">
        <v>0</v>
      </c>
      <c r="K93" s="139" t="b">
        <v>0</v>
      </c>
      <c r="L93" s="139">
        <f t="shared" si="0"/>
        <v>0</v>
      </c>
      <c r="M93" s="139">
        <f t="shared" si="1"/>
        <v>0</v>
      </c>
      <c r="N93" s="138">
        <f t="shared" si="2"/>
        <v>0</v>
      </c>
    </row>
    <row r="94" spans="1:14" ht="11.25">
      <c r="A94" s="153">
        <v>15</v>
      </c>
      <c r="H94" s="177">
        <v>9</v>
      </c>
      <c r="I94" s="141" t="b">
        <v>0</v>
      </c>
      <c r="J94" s="139" t="b">
        <v>0</v>
      </c>
      <c r="K94" s="139" t="b">
        <v>0</v>
      </c>
      <c r="L94" s="139">
        <f t="shared" si="0"/>
        <v>0</v>
      </c>
      <c r="M94" s="139">
        <f t="shared" si="1"/>
        <v>0</v>
      </c>
      <c r="N94" s="138">
        <f t="shared" si="2"/>
        <v>0</v>
      </c>
    </row>
    <row r="95" spans="1:14" ht="11.25">
      <c r="A95" s="153">
        <v>16.5</v>
      </c>
      <c r="H95" s="177">
        <v>10</v>
      </c>
      <c r="I95" s="141" t="b">
        <v>0</v>
      </c>
      <c r="J95" s="139" t="b">
        <v>0</v>
      </c>
      <c r="K95" s="139" t="b">
        <v>0</v>
      </c>
      <c r="L95" s="139">
        <f t="shared" si="0"/>
        <v>0</v>
      </c>
      <c r="M95" s="139">
        <f t="shared" si="1"/>
        <v>0</v>
      </c>
      <c r="N95" s="138">
        <f t="shared" si="2"/>
        <v>0</v>
      </c>
    </row>
    <row r="96" spans="1:14" ht="11.25">
      <c r="A96" s="153">
        <v>19</v>
      </c>
      <c r="H96" s="177">
        <v>11</v>
      </c>
      <c r="I96" s="141" t="b">
        <v>0</v>
      </c>
      <c r="J96" s="139" t="b">
        <v>0</v>
      </c>
      <c r="K96" s="139" t="b">
        <v>0</v>
      </c>
      <c r="L96" s="139">
        <f t="shared" si="0"/>
        <v>0</v>
      </c>
      <c r="M96" s="139">
        <f t="shared" si="1"/>
        <v>0</v>
      </c>
      <c r="N96" s="138">
        <f t="shared" si="2"/>
        <v>0</v>
      </c>
    </row>
    <row r="97" spans="1:14" ht="11.25">
      <c r="A97" s="153">
        <v>21.5</v>
      </c>
      <c r="H97" s="177">
        <v>12</v>
      </c>
      <c r="I97" s="141" t="b">
        <v>0</v>
      </c>
      <c r="J97" s="139" t="b">
        <v>0</v>
      </c>
      <c r="K97" s="139" t="b">
        <v>0</v>
      </c>
      <c r="L97" s="139">
        <f t="shared" si="0"/>
        <v>0</v>
      </c>
      <c r="M97" s="139">
        <f t="shared" si="1"/>
        <v>0</v>
      </c>
      <c r="N97" s="138">
        <f t="shared" si="2"/>
        <v>0</v>
      </c>
    </row>
    <row r="98" spans="1:14" ht="11.25">
      <c r="A98" s="153">
        <v>25</v>
      </c>
      <c r="H98" s="177">
        <v>13</v>
      </c>
      <c r="I98" s="141" t="b">
        <v>0</v>
      </c>
      <c r="J98" s="139" t="b">
        <v>0</v>
      </c>
      <c r="K98" s="139" t="b">
        <v>0</v>
      </c>
      <c r="L98" s="139">
        <f t="shared" si="0"/>
        <v>0</v>
      </c>
      <c r="M98" s="139">
        <f t="shared" si="1"/>
        <v>0</v>
      </c>
      <c r="N98" s="138">
        <f t="shared" si="2"/>
        <v>0</v>
      </c>
    </row>
    <row r="99" spans="1:14" ht="11.25">
      <c r="A99" s="153">
        <v>29</v>
      </c>
      <c r="H99" s="177">
        <v>14</v>
      </c>
      <c r="I99" s="141" t="b">
        <v>0</v>
      </c>
      <c r="J99" s="139" t="b">
        <v>0</v>
      </c>
      <c r="K99" s="139" t="b">
        <v>0</v>
      </c>
      <c r="L99" s="139">
        <f t="shared" si="0"/>
        <v>0</v>
      </c>
      <c r="M99" s="139">
        <f t="shared" si="1"/>
        <v>0</v>
      </c>
      <c r="N99" s="138">
        <f t="shared" si="2"/>
        <v>0</v>
      </c>
    </row>
    <row r="100" spans="1:14" ht="11.25">
      <c r="A100" s="153">
        <v>33</v>
      </c>
      <c r="H100" s="177">
        <v>15</v>
      </c>
      <c r="I100" s="141" t="b">
        <v>0</v>
      </c>
      <c r="J100" s="139" t="b">
        <v>0</v>
      </c>
      <c r="K100" s="139" t="b">
        <v>0</v>
      </c>
      <c r="L100" s="139">
        <f t="shared" si="0"/>
        <v>0</v>
      </c>
      <c r="M100" s="139">
        <f t="shared" si="1"/>
        <v>0</v>
      </c>
      <c r="N100" s="138">
        <f t="shared" si="2"/>
        <v>0</v>
      </c>
    </row>
    <row r="101" spans="1:14" ht="11.25">
      <c r="A101" s="153">
        <v>38</v>
      </c>
      <c r="H101" s="177">
        <v>16</v>
      </c>
      <c r="I101" s="141" t="b">
        <v>0</v>
      </c>
      <c r="J101" s="139" t="b">
        <v>0</v>
      </c>
      <c r="K101" s="139" t="b">
        <v>0</v>
      </c>
      <c r="L101" s="139">
        <f t="shared" si="0"/>
        <v>0</v>
      </c>
      <c r="M101" s="139">
        <f t="shared" si="1"/>
        <v>0</v>
      </c>
      <c r="N101" s="138">
        <f t="shared" si="2"/>
        <v>0</v>
      </c>
    </row>
    <row r="102" spans="1:14" ht="11.25">
      <c r="A102" s="153">
        <v>43</v>
      </c>
      <c r="H102" s="177">
        <v>17</v>
      </c>
      <c r="I102" s="141" t="b">
        <v>0</v>
      </c>
      <c r="J102" s="139" t="b">
        <v>0</v>
      </c>
      <c r="K102" s="139" t="b">
        <v>0</v>
      </c>
      <c r="L102" s="139">
        <f t="shared" si="0"/>
        <v>0</v>
      </c>
      <c r="M102" s="139">
        <f t="shared" si="1"/>
        <v>0</v>
      </c>
      <c r="N102" s="138">
        <f t="shared" si="2"/>
        <v>0</v>
      </c>
    </row>
    <row r="103" spans="1:14" ht="11.25">
      <c r="A103" s="153">
        <v>50</v>
      </c>
      <c r="H103" s="177">
        <v>18</v>
      </c>
      <c r="I103" s="141" t="b">
        <v>0</v>
      </c>
      <c r="J103" s="139" t="b">
        <v>0</v>
      </c>
      <c r="K103" s="139" t="b">
        <v>0</v>
      </c>
      <c r="L103" s="139">
        <f t="shared" si="0"/>
        <v>0</v>
      </c>
      <c r="M103" s="139">
        <f t="shared" si="1"/>
        <v>0</v>
      </c>
      <c r="N103" s="138">
        <f t="shared" si="2"/>
        <v>0</v>
      </c>
    </row>
    <row r="104" spans="1:14" ht="11.25">
      <c r="A104" s="153">
        <v>58</v>
      </c>
      <c r="H104" s="177">
        <v>19</v>
      </c>
      <c r="I104" s="141" t="b">
        <v>0</v>
      </c>
      <c r="J104" s="139" t="b">
        <v>0</v>
      </c>
      <c r="K104" s="139" t="b">
        <v>0</v>
      </c>
      <c r="L104" s="139">
        <f t="shared" si="0"/>
        <v>0</v>
      </c>
      <c r="M104" s="139">
        <f t="shared" si="1"/>
        <v>0</v>
      </c>
      <c r="N104" s="138">
        <f t="shared" si="2"/>
        <v>0</v>
      </c>
    </row>
    <row r="105" spans="1:14" ht="12" thickBot="1">
      <c r="A105" s="155">
        <v>66.5</v>
      </c>
      <c r="H105" s="177">
        <v>20</v>
      </c>
      <c r="I105" s="141" t="b">
        <v>0</v>
      </c>
      <c r="J105" s="139" t="b">
        <v>0</v>
      </c>
      <c r="K105" s="139" t="b">
        <v>0</v>
      </c>
      <c r="L105" s="184">
        <f t="shared" si="0"/>
        <v>0</v>
      </c>
      <c r="M105" s="184">
        <f t="shared" si="1"/>
        <v>0</v>
      </c>
      <c r="N105" s="185">
        <f t="shared" si="2"/>
        <v>0</v>
      </c>
    </row>
    <row r="106" spans="8:14" ht="11.25">
      <c r="H106" s="178"/>
      <c r="I106" s="150"/>
      <c r="J106" s="156"/>
      <c r="K106" s="156"/>
      <c r="L106" s="156">
        <f>SUM(L86:L105)</f>
        <v>0</v>
      </c>
      <c r="M106" s="156">
        <f>SUM(M86:M105)</f>
        <v>0</v>
      </c>
      <c r="N106" s="143">
        <f>SUM(N86:N105)</f>
        <v>0</v>
      </c>
    </row>
    <row r="107" spans="1:11" ht="11.25">
      <c r="A107" s="132" t="s">
        <v>89</v>
      </c>
      <c r="B107" s="133"/>
      <c r="H107" s="141"/>
      <c r="I107" s="141"/>
      <c r="J107" s="139"/>
      <c r="K107" s="139"/>
    </row>
    <row r="108" spans="1:11" ht="11.25">
      <c r="A108" s="137" t="s">
        <v>478</v>
      </c>
      <c r="B108" s="138">
        <v>2</v>
      </c>
      <c r="H108" s="141"/>
      <c r="I108" s="141"/>
      <c r="J108" s="139"/>
      <c r="K108" s="139"/>
    </row>
    <row r="109" spans="1:11" ht="11.25">
      <c r="A109" s="137" t="s">
        <v>270</v>
      </c>
      <c r="B109" s="138"/>
      <c r="H109" s="141"/>
      <c r="I109" s="141"/>
      <c r="J109" s="139"/>
      <c r="K109" s="139"/>
    </row>
    <row r="110" spans="1:11" ht="11.25">
      <c r="A110" s="137" t="s">
        <v>475</v>
      </c>
      <c r="B110" s="138"/>
      <c r="H110" s="141"/>
      <c r="I110" s="141"/>
      <c r="J110" s="139"/>
      <c r="K110" s="139"/>
    </row>
    <row r="111" spans="1:2" ht="11.25">
      <c r="A111" s="137" t="s">
        <v>476</v>
      </c>
      <c r="B111" s="138"/>
    </row>
    <row r="112" spans="1:2" ht="11.25">
      <c r="A112" s="137" t="s">
        <v>477</v>
      </c>
      <c r="B112" s="138"/>
    </row>
    <row r="113" spans="1:2" ht="11.25">
      <c r="A113" s="137" t="s">
        <v>479</v>
      </c>
      <c r="B113" s="138"/>
    </row>
    <row r="114" spans="1:2" ht="11.25">
      <c r="A114" s="137" t="s">
        <v>480</v>
      </c>
      <c r="B114" s="138"/>
    </row>
    <row r="115" spans="1:2" ht="11.25">
      <c r="A115" s="137" t="s">
        <v>481</v>
      </c>
      <c r="B115" s="138"/>
    </row>
    <row r="116" spans="1:2" ht="11.25">
      <c r="A116" s="137" t="s">
        <v>257</v>
      </c>
      <c r="B116" s="138"/>
    </row>
    <row r="117" spans="1:2" ht="11.25">
      <c r="A117" s="137" t="s">
        <v>258</v>
      </c>
      <c r="B117" s="138"/>
    </row>
    <row r="118" spans="1:2" ht="11.25">
      <c r="A118" s="137" t="s">
        <v>259</v>
      </c>
      <c r="B118" s="138"/>
    </row>
    <row r="119" spans="1:2" ht="11.25">
      <c r="A119" s="137" t="s">
        <v>271</v>
      </c>
      <c r="B119" s="138"/>
    </row>
    <row r="120" spans="1:2" ht="11.25">
      <c r="A120" s="137" t="s">
        <v>260</v>
      </c>
      <c r="B120" s="138"/>
    </row>
    <row r="121" spans="1:2" ht="11.25">
      <c r="A121" s="137" t="s">
        <v>261</v>
      </c>
      <c r="B121" s="138"/>
    </row>
    <row r="122" spans="1:2" ht="11.25">
      <c r="A122" s="137" t="s">
        <v>262</v>
      </c>
      <c r="B122" s="138"/>
    </row>
    <row r="123" spans="1:2" ht="11.25">
      <c r="A123" s="137" t="s">
        <v>263</v>
      </c>
      <c r="B123" s="138"/>
    </row>
    <row r="124" spans="1:2" ht="11.25">
      <c r="A124" s="137" t="s">
        <v>264</v>
      </c>
      <c r="B124" s="138"/>
    </row>
    <row r="125" spans="1:2" ht="11.25">
      <c r="A125" s="137" t="s">
        <v>265</v>
      </c>
      <c r="B125" s="138"/>
    </row>
    <row r="126" spans="1:2" ht="11.25">
      <c r="A126" s="137" t="s">
        <v>266</v>
      </c>
      <c r="B126" s="138"/>
    </row>
    <row r="127" spans="1:2" ht="11.25">
      <c r="A127" s="137" t="s">
        <v>267</v>
      </c>
      <c r="B127" s="138"/>
    </row>
    <row r="128" spans="1:2" ht="11.25">
      <c r="A128" s="137" t="s">
        <v>268</v>
      </c>
      <c r="B128" s="138"/>
    </row>
    <row r="129" spans="1:2" ht="11.25">
      <c r="A129" s="142" t="s">
        <v>269</v>
      </c>
      <c r="B129" s="143"/>
    </row>
    <row r="131" spans="1:2" ht="11.25">
      <c r="A131" s="132" t="s">
        <v>273</v>
      </c>
      <c r="B131" s="133">
        <v>5</v>
      </c>
    </row>
    <row r="132" spans="1:2" ht="11.25">
      <c r="A132" s="137" t="s">
        <v>274</v>
      </c>
      <c r="B132" s="138"/>
    </row>
    <row r="133" spans="1:2" ht="11.25">
      <c r="A133" s="137" t="s">
        <v>275</v>
      </c>
      <c r="B133" s="138"/>
    </row>
    <row r="134" spans="1:2" ht="11.25">
      <c r="A134" s="137" t="s">
        <v>276</v>
      </c>
      <c r="B134" s="138"/>
    </row>
    <row r="135" spans="1:2" ht="11.25">
      <c r="A135" s="137" t="s">
        <v>277</v>
      </c>
      <c r="B135" s="138"/>
    </row>
    <row r="136" spans="1:2" ht="11.25">
      <c r="A136" s="137" t="s">
        <v>278</v>
      </c>
      <c r="B136" s="138"/>
    </row>
    <row r="137" spans="1:2" ht="11.25">
      <c r="A137" s="137" t="s">
        <v>279</v>
      </c>
      <c r="B137" s="138"/>
    </row>
    <row r="138" spans="1:2" ht="11.25">
      <c r="A138" s="137" t="s">
        <v>280</v>
      </c>
      <c r="B138" s="138"/>
    </row>
    <row r="139" spans="1:2" ht="11.25">
      <c r="A139" s="137" t="s">
        <v>281</v>
      </c>
      <c r="B139" s="138"/>
    </row>
    <row r="140" spans="1:2" ht="11.25">
      <c r="A140" s="137" t="s">
        <v>282</v>
      </c>
      <c r="B140" s="138"/>
    </row>
    <row r="141" spans="1:2" ht="11.25">
      <c r="A141" s="137" t="s">
        <v>283</v>
      </c>
      <c r="B141" s="138"/>
    </row>
    <row r="142" spans="1:2" ht="11.25">
      <c r="A142" s="137" t="s">
        <v>284</v>
      </c>
      <c r="B142" s="138"/>
    </row>
    <row r="143" spans="1:2" ht="11.25">
      <c r="A143" s="137" t="s">
        <v>296</v>
      </c>
      <c r="B143" s="138"/>
    </row>
    <row r="144" spans="1:2" ht="11.25">
      <c r="A144" s="137" t="s">
        <v>285</v>
      </c>
      <c r="B144" s="138"/>
    </row>
    <row r="145" spans="1:2" ht="11.25">
      <c r="A145" s="137" t="s">
        <v>286</v>
      </c>
      <c r="B145" s="138"/>
    </row>
    <row r="146" spans="1:2" ht="11.25">
      <c r="A146" s="137" t="s">
        <v>287</v>
      </c>
      <c r="B146" s="138"/>
    </row>
    <row r="147" spans="1:2" ht="11.25">
      <c r="A147" s="137" t="s">
        <v>288</v>
      </c>
      <c r="B147" s="138"/>
    </row>
    <row r="148" spans="1:2" ht="11.25">
      <c r="A148" s="137" t="s">
        <v>289</v>
      </c>
      <c r="B148" s="138"/>
    </row>
    <row r="149" spans="1:2" ht="11.25">
      <c r="A149" s="137" t="s">
        <v>290</v>
      </c>
      <c r="B149" s="138"/>
    </row>
    <row r="150" spans="1:2" ht="11.25">
      <c r="A150" s="137" t="s">
        <v>291</v>
      </c>
      <c r="B150" s="138"/>
    </row>
    <row r="151" spans="1:2" ht="11.25">
      <c r="A151" s="137" t="s">
        <v>292</v>
      </c>
      <c r="B151" s="138"/>
    </row>
    <row r="152" spans="1:2" ht="11.25">
      <c r="A152" s="142" t="s">
        <v>293</v>
      </c>
      <c r="B152" s="143"/>
    </row>
    <row r="154" spans="1:10" ht="11.25">
      <c r="A154" s="157" t="s">
        <v>447</v>
      </c>
      <c r="B154" s="317" t="s">
        <v>353</v>
      </c>
      <c r="C154" s="317" t="s">
        <v>449</v>
      </c>
      <c r="D154" s="317" t="s">
        <v>450</v>
      </c>
      <c r="E154" s="317" t="s">
        <v>451</v>
      </c>
      <c r="F154" s="317" t="s">
        <v>461</v>
      </c>
      <c r="G154" s="317" t="s">
        <v>462</v>
      </c>
      <c r="H154" s="317" t="s">
        <v>439</v>
      </c>
      <c r="I154" s="181">
        <v>1</v>
      </c>
      <c r="J154" s="318" t="s">
        <v>448</v>
      </c>
    </row>
    <row r="155" spans="1:10" ht="11.25">
      <c r="A155" s="158" t="s">
        <v>434</v>
      </c>
      <c r="B155" s="179">
        <v>0</v>
      </c>
      <c r="C155" s="175"/>
      <c r="D155" s="175">
        <v>0</v>
      </c>
      <c r="E155" s="179">
        <v>0</v>
      </c>
      <c r="F155" s="179">
        <v>0</v>
      </c>
      <c r="G155" s="179">
        <v>0</v>
      </c>
      <c r="H155" s="179">
        <v>0</v>
      </c>
      <c r="I155" s="141">
        <v>1</v>
      </c>
      <c r="J155" s="316">
        <v>0</v>
      </c>
    </row>
    <row r="156" spans="1:10" ht="11.25">
      <c r="A156" s="158" t="s">
        <v>657</v>
      </c>
      <c r="B156" s="179">
        <v>0</v>
      </c>
      <c r="C156" s="141"/>
      <c r="D156" s="179">
        <v>0</v>
      </c>
      <c r="E156" s="179">
        <v>0</v>
      </c>
      <c r="F156" s="179">
        <v>0</v>
      </c>
      <c r="G156" s="179">
        <v>0</v>
      </c>
      <c r="H156" s="179">
        <v>1</v>
      </c>
      <c r="I156" s="141">
        <v>1</v>
      </c>
      <c r="J156" s="316">
        <v>1</v>
      </c>
    </row>
    <row r="157" spans="1:10" ht="11.25">
      <c r="A157" s="158" t="s">
        <v>669</v>
      </c>
      <c r="B157" s="179">
        <v>0</v>
      </c>
      <c r="C157" s="141">
        <v>5</v>
      </c>
      <c r="D157" s="179">
        <v>0</v>
      </c>
      <c r="E157" s="179">
        <v>10</v>
      </c>
      <c r="F157" s="179">
        <v>0</v>
      </c>
      <c r="G157" s="179">
        <v>0</v>
      </c>
      <c r="H157" s="179">
        <v>2.5</v>
      </c>
      <c r="I157" s="141"/>
      <c r="J157" s="316">
        <v>1</v>
      </c>
    </row>
    <row r="158" spans="1:10" ht="11.25">
      <c r="A158" s="137" t="s">
        <v>456</v>
      </c>
      <c r="B158" s="179">
        <v>0</v>
      </c>
      <c r="C158" s="179">
        <v>8</v>
      </c>
      <c r="D158" s="179">
        <v>0</v>
      </c>
      <c r="E158" s="179">
        <v>5</v>
      </c>
      <c r="F158" s="179">
        <v>0</v>
      </c>
      <c r="G158" s="179">
        <v>0</v>
      </c>
      <c r="H158" s="179">
        <v>5</v>
      </c>
      <c r="J158" s="316">
        <v>1</v>
      </c>
    </row>
    <row r="159" spans="1:10" ht="11.25">
      <c r="A159" s="158" t="s">
        <v>666</v>
      </c>
      <c r="B159" s="179">
        <v>0</v>
      </c>
      <c r="C159" s="141">
        <v>5</v>
      </c>
      <c r="D159" s="179">
        <v>-2</v>
      </c>
      <c r="E159" s="179">
        <v>15</v>
      </c>
      <c r="F159" s="179">
        <v>0</v>
      </c>
      <c r="G159" s="179"/>
      <c r="H159" s="179">
        <v>7.5</v>
      </c>
      <c r="J159" s="316">
        <v>2</v>
      </c>
    </row>
    <row r="160" spans="1:10" ht="11.25">
      <c r="A160" s="158" t="s">
        <v>668</v>
      </c>
      <c r="B160" s="179">
        <v>0</v>
      </c>
      <c r="C160" s="141">
        <v>5</v>
      </c>
      <c r="D160" s="179">
        <v>-1</v>
      </c>
      <c r="E160" s="179">
        <v>5</v>
      </c>
      <c r="F160" s="179"/>
      <c r="G160" s="179"/>
      <c r="H160" s="179">
        <v>7.5</v>
      </c>
      <c r="I160" s="141"/>
      <c r="J160" s="316">
        <v>2</v>
      </c>
    </row>
    <row r="161" spans="1:10" ht="11.25">
      <c r="A161" s="137" t="s">
        <v>452</v>
      </c>
      <c r="B161" s="179">
        <v>0</v>
      </c>
      <c r="C161" s="179">
        <v>6</v>
      </c>
      <c r="D161" s="179">
        <v>0</v>
      </c>
      <c r="E161" s="179">
        <v>10</v>
      </c>
      <c r="F161" s="179">
        <v>0</v>
      </c>
      <c r="G161" s="179">
        <v>0</v>
      </c>
      <c r="H161" s="179">
        <v>7.5</v>
      </c>
      <c r="I161" s="141"/>
      <c r="J161" s="316">
        <v>2</v>
      </c>
    </row>
    <row r="162" spans="1:10" ht="11.25">
      <c r="A162" s="137" t="s">
        <v>306</v>
      </c>
      <c r="B162" s="179">
        <v>0</v>
      </c>
      <c r="C162" s="179">
        <v>7</v>
      </c>
      <c r="D162" s="179">
        <v>0</v>
      </c>
      <c r="E162" s="179">
        <v>5</v>
      </c>
      <c r="F162" s="179">
        <v>0</v>
      </c>
      <c r="G162" s="179">
        <v>0</v>
      </c>
      <c r="H162" s="179">
        <v>7.5</v>
      </c>
      <c r="I162" s="141"/>
      <c r="J162" s="316">
        <v>2</v>
      </c>
    </row>
    <row r="163" spans="1:10" ht="11.25">
      <c r="A163" s="158" t="s">
        <v>667</v>
      </c>
      <c r="B163" s="179">
        <v>0</v>
      </c>
      <c r="C163" s="141">
        <v>4</v>
      </c>
      <c r="D163" s="179">
        <v>-3</v>
      </c>
      <c r="E163" s="179">
        <v>15</v>
      </c>
      <c r="F163" s="179"/>
      <c r="G163" s="179"/>
      <c r="H163" s="179">
        <v>10</v>
      </c>
      <c r="I163" s="141"/>
      <c r="J163" s="316">
        <v>3</v>
      </c>
    </row>
    <row r="164" spans="1:10" ht="11.25">
      <c r="A164" s="158" t="s">
        <v>660</v>
      </c>
      <c r="B164" s="179">
        <v>0</v>
      </c>
      <c r="C164" s="141">
        <v>4</v>
      </c>
      <c r="D164" s="179">
        <v>-3</v>
      </c>
      <c r="E164" s="179">
        <v>15</v>
      </c>
      <c r="F164" s="179"/>
      <c r="G164" s="179"/>
      <c r="H164" s="179">
        <v>7.5</v>
      </c>
      <c r="I164" s="141"/>
      <c r="J164" s="316">
        <v>3</v>
      </c>
    </row>
    <row r="165" spans="1:10" ht="11.25">
      <c r="A165" s="137" t="s">
        <v>454</v>
      </c>
      <c r="B165" s="179">
        <v>0</v>
      </c>
      <c r="C165" s="179">
        <v>4</v>
      </c>
      <c r="D165" s="179">
        <v>-3</v>
      </c>
      <c r="E165" s="179">
        <v>20</v>
      </c>
      <c r="F165" s="179">
        <v>-3</v>
      </c>
      <c r="G165" s="179">
        <v>-1.5</v>
      </c>
      <c r="H165" s="179">
        <v>12.5</v>
      </c>
      <c r="I165" s="141"/>
      <c r="J165" s="316">
        <v>3</v>
      </c>
    </row>
    <row r="166" spans="1:10" ht="11.25">
      <c r="A166" s="158" t="s">
        <v>659</v>
      </c>
      <c r="B166" s="179">
        <v>0</v>
      </c>
      <c r="C166" s="141">
        <v>6</v>
      </c>
      <c r="D166" s="179">
        <v>-2</v>
      </c>
      <c r="E166" s="179">
        <v>15</v>
      </c>
      <c r="F166" s="179"/>
      <c r="G166" s="179"/>
      <c r="H166" s="179">
        <v>10</v>
      </c>
      <c r="I166" s="141"/>
      <c r="J166" s="316">
        <v>3</v>
      </c>
    </row>
    <row r="167" spans="1:10" ht="11.25">
      <c r="A167" s="137" t="s">
        <v>321</v>
      </c>
      <c r="B167" s="179">
        <v>0</v>
      </c>
      <c r="C167" s="179">
        <v>5</v>
      </c>
      <c r="D167" s="179">
        <v>-1</v>
      </c>
      <c r="E167" s="179">
        <v>15</v>
      </c>
      <c r="F167" s="179">
        <v>0</v>
      </c>
      <c r="G167" s="179">
        <v>0</v>
      </c>
      <c r="H167" s="179">
        <v>10</v>
      </c>
      <c r="I167" s="141"/>
      <c r="J167" s="316">
        <v>3</v>
      </c>
    </row>
    <row r="168" spans="1:10" ht="11.25">
      <c r="A168" s="158" t="s">
        <v>661</v>
      </c>
      <c r="B168" s="179">
        <v>0</v>
      </c>
      <c r="C168" s="141">
        <v>2</v>
      </c>
      <c r="D168" s="179">
        <v>-5</v>
      </c>
      <c r="E168" s="179">
        <v>30</v>
      </c>
      <c r="F168" s="179">
        <v>-3</v>
      </c>
      <c r="G168" s="179">
        <v>-1.5</v>
      </c>
      <c r="H168" s="179">
        <v>20</v>
      </c>
      <c r="I168" s="141"/>
      <c r="J168" s="316">
        <v>4</v>
      </c>
    </row>
    <row r="169" spans="1:10" ht="11.25">
      <c r="A169" s="137" t="s">
        <v>455</v>
      </c>
      <c r="B169" s="179">
        <v>0</v>
      </c>
      <c r="C169" s="179">
        <v>3</v>
      </c>
      <c r="D169" s="179">
        <v>-4</v>
      </c>
      <c r="E169" s="179">
        <v>25</v>
      </c>
      <c r="F169" s="179">
        <v>-3</v>
      </c>
      <c r="G169" s="179">
        <v>-1.5</v>
      </c>
      <c r="H169" s="179">
        <v>15</v>
      </c>
      <c r="I169" s="141"/>
      <c r="J169" s="316">
        <v>4</v>
      </c>
    </row>
    <row r="170" spans="1:10" ht="11.25">
      <c r="A170" s="158" t="s">
        <v>663</v>
      </c>
      <c r="B170" s="179">
        <v>0</v>
      </c>
      <c r="C170" s="141">
        <v>4</v>
      </c>
      <c r="D170" s="179">
        <v>-3</v>
      </c>
      <c r="E170" s="179">
        <v>30</v>
      </c>
      <c r="F170" s="179">
        <v>-3</v>
      </c>
      <c r="G170" s="179">
        <v>-1.5</v>
      </c>
      <c r="H170" s="179">
        <v>17.5</v>
      </c>
      <c r="I170" s="141"/>
      <c r="J170" s="316">
        <v>4</v>
      </c>
    </row>
    <row r="171" spans="1:10" ht="11.25">
      <c r="A171" s="137" t="s">
        <v>453</v>
      </c>
      <c r="B171" s="179">
        <v>0</v>
      </c>
      <c r="C171" s="179">
        <v>4</v>
      </c>
      <c r="D171" s="179">
        <v>-2</v>
      </c>
      <c r="E171" s="179">
        <v>20</v>
      </c>
      <c r="F171" s="179">
        <v>0</v>
      </c>
      <c r="G171" s="179">
        <v>0</v>
      </c>
      <c r="H171" s="179">
        <v>12.5</v>
      </c>
      <c r="I171" s="141"/>
      <c r="J171" s="316">
        <v>4</v>
      </c>
    </row>
    <row r="172" spans="1:10" ht="11.25">
      <c r="A172" s="158" t="s">
        <v>658</v>
      </c>
      <c r="B172" s="179">
        <v>0</v>
      </c>
      <c r="C172" s="141">
        <v>6</v>
      </c>
      <c r="D172" s="179">
        <v>0</v>
      </c>
      <c r="E172" s="179">
        <v>10</v>
      </c>
      <c r="F172" s="179"/>
      <c r="G172" s="179"/>
      <c r="H172" s="179">
        <v>2.5</v>
      </c>
      <c r="I172" s="141"/>
      <c r="J172" s="316">
        <v>4</v>
      </c>
    </row>
    <row r="173" spans="1:10" ht="11.25">
      <c r="A173" s="158" t="s">
        <v>457</v>
      </c>
      <c r="B173" s="179">
        <v>0</v>
      </c>
      <c r="C173" s="179">
        <v>2</v>
      </c>
      <c r="D173" s="179">
        <v>-5</v>
      </c>
      <c r="E173" s="179">
        <v>30</v>
      </c>
      <c r="F173" s="179">
        <v>-3</v>
      </c>
      <c r="G173" s="179">
        <v>-1.5</v>
      </c>
      <c r="H173" s="179">
        <v>20</v>
      </c>
      <c r="I173" s="141"/>
      <c r="J173" s="316">
        <v>5</v>
      </c>
    </row>
    <row r="174" spans="1:10" ht="11.25">
      <c r="A174" s="158" t="s">
        <v>662</v>
      </c>
      <c r="B174" s="179">
        <v>0</v>
      </c>
      <c r="C174" s="141">
        <v>3</v>
      </c>
      <c r="D174" s="179">
        <v>-4</v>
      </c>
      <c r="E174" s="179">
        <v>30</v>
      </c>
      <c r="F174" s="179">
        <v>-3</v>
      </c>
      <c r="G174" s="179">
        <v>-1.5</v>
      </c>
      <c r="H174" s="179">
        <v>17.5</v>
      </c>
      <c r="I174" s="141"/>
      <c r="J174" s="316">
        <v>5</v>
      </c>
    </row>
    <row r="175" spans="1:10" ht="11.25">
      <c r="A175" s="158" t="s">
        <v>458</v>
      </c>
      <c r="B175" s="179">
        <v>0</v>
      </c>
      <c r="C175" s="179">
        <v>3</v>
      </c>
      <c r="D175" s="179">
        <v>-4</v>
      </c>
      <c r="E175" s="179">
        <v>25</v>
      </c>
      <c r="F175" s="179">
        <v>-3</v>
      </c>
      <c r="G175" s="179">
        <v>-1.5</v>
      </c>
      <c r="H175" s="179">
        <v>15</v>
      </c>
      <c r="I175" s="141"/>
      <c r="J175" s="316">
        <v>5</v>
      </c>
    </row>
    <row r="176" spans="1:10" ht="11.25">
      <c r="A176" s="137" t="s">
        <v>5</v>
      </c>
      <c r="B176" s="179">
        <v>0</v>
      </c>
      <c r="C176" s="179">
        <v>4</v>
      </c>
      <c r="D176" s="179">
        <v>-2</v>
      </c>
      <c r="E176" s="179">
        <v>20</v>
      </c>
      <c r="F176" s="179">
        <v>0</v>
      </c>
      <c r="G176" s="179">
        <v>0</v>
      </c>
      <c r="H176" s="179">
        <v>15</v>
      </c>
      <c r="I176" s="141"/>
      <c r="J176" s="316">
        <v>5</v>
      </c>
    </row>
    <row r="177" spans="1:10" ht="11.25">
      <c r="A177" s="158" t="s">
        <v>459</v>
      </c>
      <c r="B177" s="179">
        <v>0</v>
      </c>
      <c r="C177" s="179">
        <v>0</v>
      </c>
      <c r="D177" s="179">
        <v>-7</v>
      </c>
      <c r="E177" s="179">
        <v>40</v>
      </c>
      <c r="F177" s="179">
        <v>-3</v>
      </c>
      <c r="G177" s="179">
        <v>-1.5</v>
      </c>
      <c r="H177" s="179">
        <v>22.5</v>
      </c>
      <c r="I177" s="141"/>
      <c r="J177" s="316">
        <v>6</v>
      </c>
    </row>
    <row r="178" spans="1:10" ht="11.25">
      <c r="A178" s="158" t="s">
        <v>460</v>
      </c>
      <c r="B178" s="179">
        <v>0</v>
      </c>
      <c r="C178" s="179">
        <v>1</v>
      </c>
      <c r="D178" s="179">
        <v>-6</v>
      </c>
      <c r="E178" s="179">
        <v>35</v>
      </c>
      <c r="F178" s="179">
        <v>-3</v>
      </c>
      <c r="G178" s="179">
        <v>-1.5</v>
      </c>
      <c r="H178" s="179">
        <v>17.5</v>
      </c>
      <c r="I178" s="141"/>
      <c r="J178" s="316">
        <v>6</v>
      </c>
    </row>
    <row r="179" spans="1:10" ht="11.25">
      <c r="A179" s="158" t="s">
        <v>6</v>
      </c>
      <c r="B179" s="179">
        <v>0</v>
      </c>
      <c r="C179" s="179">
        <v>2</v>
      </c>
      <c r="D179" s="179">
        <v>-4</v>
      </c>
      <c r="E179" s="179">
        <v>30</v>
      </c>
      <c r="F179" s="179">
        <v>-3</v>
      </c>
      <c r="G179" s="179">
        <v>-1.5</v>
      </c>
      <c r="H179" s="179">
        <v>17.5</v>
      </c>
      <c r="I179" s="141"/>
      <c r="J179" s="316">
        <v>6</v>
      </c>
    </row>
    <row r="180" spans="1:10" ht="11.25">
      <c r="A180" s="158" t="s">
        <v>553</v>
      </c>
      <c r="B180" s="179">
        <v>0</v>
      </c>
      <c r="C180" s="179">
        <v>0</v>
      </c>
      <c r="D180" s="179">
        <v>-7</v>
      </c>
      <c r="E180" s="179">
        <v>40</v>
      </c>
      <c r="F180" s="179">
        <v>-3</v>
      </c>
      <c r="G180" s="179">
        <v>-1.5</v>
      </c>
      <c r="H180" s="179">
        <v>25</v>
      </c>
      <c r="I180" s="141"/>
      <c r="J180" s="316">
        <v>7</v>
      </c>
    </row>
    <row r="181" spans="1:10" ht="11.25">
      <c r="A181" s="158" t="s">
        <v>554</v>
      </c>
      <c r="B181" s="179">
        <v>0</v>
      </c>
      <c r="C181" s="179">
        <v>1</v>
      </c>
      <c r="D181" s="179">
        <v>-6</v>
      </c>
      <c r="E181" s="179">
        <v>35</v>
      </c>
      <c r="F181" s="179">
        <v>-3</v>
      </c>
      <c r="G181" s="179">
        <v>-1.5</v>
      </c>
      <c r="H181" s="179">
        <v>25</v>
      </c>
      <c r="I181" s="141"/>
      <c r="J181" s="316">
        <v>8</v>
      </c>
    </row>
    <row r="182" spans="1:10" ht="11.25">
      <c r="A182" s="158" t="s">
        <v>664</v>
      </c>
      <c r="B182" s="179">
        <v>0</v>
      </c>
      <c r="C182" s="141">
        <v>0</v>
      </c>
      <c r="D182" s="179">
        <v>-8</v>
      </c>
      <c r="E182" s="179">
        <v>40</v>
      </c>
      <c r="F182" s="179">
        <v>-3</v>
      </c>
      <c r="G182" s="179">
        <v>-1.5</v>
      </c>
      <c r="H182" s="179">
        <v>30</v>
      </c>
      <c r="I182" s="141"/>
      <c r="J182" s="316">
        <v>9</v>
      </c>
    </row>
    <row r="183" spans="1:10" ht="11.25">
      <c r="A183" s="158" t="s">
        <v>665</v>
      </c>
      <c r="B183" s="179">
        <v>0</v>
      </c>
      <c r="C183" s="141">
        <v>0</v>
      </c>
      <c r="D183" s="179">
        <v>-7</v>
      </c>
      <c r="E183" s="179">
        <v>40</v>
      </c>
      <c r="F183" s="179">
        <v>-3</v>
      </c>
      <c r="G183" s="179">
        <v>-1.5</v>
      </c>
      <c r="H183" s="179">
        <v>40</v>
      </c>
      <c r="I183" s="141"/>
      <c r="J183" s="316">
        <v>9</v>
      </c>
    </row>
    <row r="184" spans="1:10" ht="11.25">
      <c r="A184" s="158" t="s">
        <v>434</v>
      </c>
      <c r="B184" s="179">
        <v>0</v>
      </c>
      <c r="C184" s="179">
        <v>0</v>
      </c>
      <c r="D184" s="179">
        <v>0</v>
      </c>
      <c r="E184" s="179">
        <v>0</v>
      </c>
      <c r="F184" s="179">
        <v>0</v>
      </c>
      <c r="G184" s="179">
        <v>0</v>
      </c>
      <c r="H184" s="179">
        <v>0</v>
      </c>
      <c r="I184" s="179">
        <v>0</v>
      </c>
      <c r="J184" s="179">
        <v>0</v>
      </c>
    </row>
    <row r="185" spans="1:10" ht="11.25">
      <c r="A185" s="137" t="s">
        <v>354</v>
      </c>
      <c r="B185" s="141"/>
      <c r="C185" s="141"/>
      <c r="D185" s="141">
        <v>-1</v>
      </c>
      <c r="E185" s="141">
        <v>5</v>
      </c>
      <c r="F185" s="141"/>
      <c r="G185" s="141"/>
      <c r="H185" s="141">
        <v>2.5</v>
      </c>
      <c r="I185" s="141"/>
      <c r="J185" s="316">
        <v>1</v>
      </c>
    </row>
    <row r="186" spans="1:10" ht="11.25">
      <c r="A186" s="137" t="s">
        <v>355</v>
      </c>
      <c r="B186" s="141"/>
      <c r="C186" s="141"/>
      <c r="D186" s="141">
        <v>-1</v>
      </c>
      <c r="E186" s="141">
        <v>5</v>
      </c>
      <c r="F186" s="141"/>
      <c r="G186" s="141"/>
      <c r="H186" s="141">
        <v>2.5</v>
      </c>
      <c r="I186" s="141"/>
      <c r="J186" s="316">
        <v>1</v>
      </c>
    </row>
    <row r="187" spans="1:10" ht="11.25">
      <c r="A187" s="137" t="s">
        <v>356</v>
      </c>
      <c r="B187" s="141"/>
      <c r="C187" s="141"/>
      <c r="D187" s="141">
        <v>-1</v>
      </c>
      <c r="E187" s="141">
        <v>5</v>
      </c>
      <c r="F187" s="141"/>
      <c r="G187" s="141"/>
      <c r="H187" s="141">
        <v>3</v>
      </c>
      <c r="I187" s="141"/>
      <c r="J187" s="316">
        <v>1</v>
      </c>
    </row>
    <row r="188" spans="1:10" ht="11.25">
      <c r="A188" s="137" t="s">
        <v>357</v>
      </c>
      <c r="B188" s="141"/>
      <c r="C188" s="141"/>
      <c r="D188" s="141">
        <v>-2</v>
      </c>
      <c r="E188" s="141">
        <v>15</v>
      </c>
      <c r="F188" s="141"/>
      <c r="G188" s="141"/>
      <c r="H188" s="141">
        <v>5</v>
      </c>
      <c r="I188" s="141"/>
      <c r="J188" s="316">
        <v>2</v>
      </c>
    </row>
    <row r="189" spans="1:10" ht="11.25">
      <c r="A189" s="137" t="s">
        <v>358</v>
      </c>
      <c r="B189" s="141"/>
      <c r="C189" s="141"/>
      <c r="D189" s="141">
        <v>-2</v>
      </c>
      <c r="E189" s="141">
        <v>15</v>
      </c>
      <c r="F189" s="141"/>
      <c r="G189" s="141"/>
      <c r="H189" s="141">
        <v>7.5</v>
      </c>
      <c r="I189" s="141"/>
      <c r="J189" s="316">
        <v>2</v>
      </c>
    </row>
    <row r="190" spans="1:10" ht="11.25">
      <c r="A190" s="142" t="s">
        <v>359</v>
      </c>
      <c r="B190" s="150"/>
      <c r="C190" s="150"/>
      <c r="D190" s="150">
        <v>-10</v>
      </c>
      <c r="E190" s="150">
        <v>50</v>
      </c>
      <c r="F190" s="150"/>
      <c r="G190" s="150"/>
      <c r="H190" s="150">
        <v>22.5</v>
      </c>
      <c r="I190" s="150"/>
      <c r="J190" s="319">
        <v>4</v>
      </c>
    </row>
    <row r="192" spans="6:7" ht="11.25">
      <c r="F192" s="213" t="s">
        <v>583</v>
      </c>
      <c r="G192" s="214" t="s">
        <v>352</v>
      </c>
    </row>
    <row r="193" spans="1:7" ht="11.25">
      <c r="A193" s="159" t="s">
        <v>434</v>
      </c>
      <c r="B193" s="161"/>
      <c r="C193" s="161"/>
      <c r="D193" s="161"/>
      <c r="E193" s="161">
        <v>1</v>
      </c>
      <c r="F193" s="161"/>
      <c r="G193" s="312"/>
    </row>
    <row r="194" spans="1:7" ht="56.25">
      <c r="A194" s="163" t="s">
        <v>560</v>
      </c>
      <c r="B194" s="164" t="s">
        <v>4</v>
      </c>
      <c r="C194" s="163">
        <v>6</v>
      </c>
      <c r="D194" s="163" t="s">
        <v>309</v>
      </c>
      <c r="E194" s="161">
        <v>1</v>
      </c>
      <c r="F194" s="162">
        <v>8</v>
      </c>
      <c r="G194" s="162">
        <v>4</v>
      </c>
    </row>
    <row r="195" spans="1:7" ht="22.5">
      <c r="A195" s="159" t="s">
        <v>556</v>
      </c>
      <c r="B195" s="160" t="s">
        <v>11</v>
      </c>
      <c r="C195" s="159">
        <v>33</v>
      </c>
      <c r="D195" s="159" t="s">
        <v>13</v>
      </c>
      <c r="E195" s="161">
        <v>1</v>
      </c>
      <c r="F195" s="162">
        <v>12</v>
      </c>
      <c r="G195" s="162">
        <v>6</v>
      </c>
    </row>
    <row r="196" spans="1:7" ht="33.75">
      <c r="A196" s="163" t="s">
        <v>557</v>
      </c>
      <c r="B196" s="164" t="s">
        <v>11</v>
      </c>
      <c r="C196" s="163">
        <v>34</v>
      </c>
      <c r="D196" s="163" t="s">
        <v>14</v>
      </c>
      <c r="E196" s="161">
        <v>1</v>
      </c>
      <c r="F196" s="162">
        <v>6</v>
      </c>
      <c r="G196" s="162">
        <v>8</v>
      </c>
    </row>
    <row r="197" spans="1:7" ht="45">
      <c r="A197" s="307" t="s">
        <v>653</v>
      </c>
      <c r="B197" s="310" t="s">
        <v>645</v>
      </c>
      <c r="C197" s="161">
        <v>6</v>
      </c>
      <c r="D197" s="159" t="s">
        <v>646</v>
      </c>
      <c r="E197" s="161"/>
      <c r="F197" s="162">
        <v>6</v>
      </c>
      <c r="G197" s="162">
        <v>8</v>
      </c>
    </row>
    <row r="198" spans="1:7" ht="78.75">
      <c r="A198" s="307" t="s">
        <v>651</v>
      </c>
      <c r="B198" s="310" t="s">
        <v>645</v>
      </c>
      <c r="C198" s="161">
        <v>19</v>
      </c>
      <c r="D198" s="159" t="s">
        <v>648</v>
      </c>
      <c r="F198" s="162">
        <v>8</v>
      </c>
      <c r="G198" s="162">
        <v>4</v>
      </c>
    </row>
    <row r="199" spans="1:7" ht="45">
      <c r="A199" s="307" t="s">
        <v>650</v>
      </c>
      <c r="B199" s="310" t="s">
        <v>645</v>
      </c>
      <c r="C199" s="161">
        <v>11</v>
      </c>
      <c r="D199" s="159" t="s">
        <v>647</v>
      </c>
      <c r="E199" s="161"/>
      <c r="F199" s="162">
        <v>10</v>
      </c>
      <c r="G199" s="162">
        <v>4</v>
      </c>
    </row>
    <row r="200" spans="1:7" ht="33.75">
      <c r="A200" s="163" t="s">
        <v>559</v>
      </c>
      <c r="B200" s="164" t="s">
        <v>11</v>
      </c>
      <c r="C200" s="163">
        <v>36</v>
      </c>
      <c r="D200" s="163" t="s">
        <v>3</v>
      </c>
      <c r="E200" s="161"/>
      <c r="F200" s="162">
        <v>8</v>
      </c>
      <c r="G200" s="162">
        <v>6</v>
      </c>
    </row>
    <row r="201" spans="1:7" ht="45">
      <c r="A201" s="163" t="s">
        <v>562</v>
      </c>
      <c r="B201" s="164" t="s">
        <v>311</v>
      </c>
      <c r="C201" s="163">
        <v>5</v>
      </c>
      <c r="D201" s="163" t="s">
        <v>312</v>
      </c>
      <c r="E201" s="161"/>
      <c r="F201" s="162">
        <v>10</v>
      </c>
      <c r="G201" s="162">
        <v>4</v>
      </c>
    </row>
    <row r="202" spans="1:7" ht="33.75">
      <c r="A202" s="159" t="s">
        <v>572</v>
      </c>
      <c r="B202" s="160" t="s">
        <v>17</v>
      </c>
      <c r="C202" s="159">
        <v>5</v>
      </c>
      <c r="D202" s="159" t="s">
        <v>18</v>
      </c>
      <c r="E202" s="161"/>
      <c r="F202" s="162">
        <v>4</v>
      </c>
      <c r="G202" s="162">
        <v>4</v>
      </c>
    </row>
    <row r="203" spans="1:7" ht="22.5">
      <c r="A203" s="163" t="s">
        <v>197</v>
      </c>
      <c r="B203" s="164" t="s">
        <v>11</v>
      </c>
      <c r="C203" s="163">
        <v>42</v>
      </c>
      <c r="D203" s="163" t="s">
        <v>315</v>
      </c>
      <c r="E203" s="161"/>
      <c r="F203" s="162">
        <v>4</v>
      </c>
      <c r="G203" s="162">
        <v>4</v>
      </c>
    </row>
    <row r="204" spans="1:7" ht="33.75">
      <c r="A204" s="163" t="s">
        <v>561</v>
      </c>
      <c r="B204" s="164" t="s">
        <v>11</v>
      </c>
      <c r="C204" s="163">
        <v>38</v>
      </c>
      <c r="D204" s="163" t="s">
        <v>310</v>
      </c>
      <c r="E204" s="161"/>
      <c r="F204" s="162">
        <v>10</v>
      </c>
      <c r="G204" s="162">
        <v>4</v>
      </c>
    </row>
    <row r="205" spans="1:7" ht="22.5">
      <c r="A205" s="163" t="s">
        <v>558</v>
      </c>
      <c r="B205" s="164" t="s">
        <v>11</v>
      </c>
      <c r="C205" s="163">
        <v>34</v>
      </c>
      <c r="D205" s="163" t="s">
        <v>2</v>
      </c>
      <c r="E205" s="161"/>
      <c r="F205" s="162">
        <v>8</v>
      </c>
      <c r="G205" s="162">
        <v>4</v>
      </c>
    </row>
    <row r="206" spans="1:7" ht="22.5">
      <c r="A206" s="163" t="s">
        <v>579</v>
      </c>
      <c r="B206" s="164" t="s">
        <v>17</v>
      </c>
      <c r="C206" s="163">
        <v>10</v>
      </c>
      <c r="D206" s="163" t="s">
        <v>46</v>
      </c>
      <c r="E206" s="161"/>
      <c r="F206" s="162">
        <v>6</v>
      </c>
      <c r="G206" s="162">
        <v>4</v>
      </c>
    </row>
    <row r="207" spans="1:7" ht="45">
      <c r="A207" s="159" t="s">
        <v>563</v>
      </c>
      <c r="B207" s="160" t="s">
        <v>313</v>
      </c>
      <c r="C207" s="159">
        <v>20</v>
      </c>
      <c r="D207" s="159" t="s">
        <v>360</v>
      </c>
      <c r="E207" s="161"/>
      <c r="F207" s="162">
        <v>6</v>
      </c>
      <c r="G207" s="162">
        <v>4</v>
      </c>
    </row>
    <row r="208" spans="1:7" ht="22.5">
      <c r="A208" s="159" t="s">
        <v>580</v>
      </c>
      <c r="B208" s="160" t="s">
        <v>11</v>
      </c>
      <c r="C208" s="159">
        <v>42</v>
      </c>
      <c r="D208" s="159" t="s">
        <v>48</v>
      </c>
      <c r="E208" s="161"/>
      <c r="F208" s="162">
        <v>4</v>
      </c>
      <c r="G208" s="162">
        <v>4</v>
      </c>
    </row>
    <row r="209" spans="1:7" ht="22.5">
      <c r="A209" s="163" t="s">
        <v>555</v>
      </c>
      <c r="B209" s="164" t="s">
        <v>11</v>
      </c>
      <c r="C209" s="163">
        <v>29</v>
      </c>
      <c r="D209" s="163" t="s">
        <v>12</v>
      </c>
      <c r="E209" s="161"/>
      <c r="F209" s="162">
        <v>8</v>
      </c>
      <c r="G209" s="162">
        <v>6</v>
      </c>
    </row>
    <row r="210" spans="1:7" ht="33.75">
      <c r="A210" s="163" t="s">
        <v>564</v>
      </c>
      <c r="B210" s="164" t="s">
        <v>11</v>
      </c>
      <c r="C210" s="163">
        <v>38</v>
      </c>
      <c r="D210" s="163" t="s">
        <v>361</v>
      </c>
      <c r="E210" s="161"/>
      <c r="F210" s="162">
        <v>8</v>
      </c>
      <c r="G210" s="162">
        <v>6</v>
      </c>
    </row>
    <row r="211" spans="1:7" ht="33.75">
      <c r="A211" s="159" t="s">
        <v>565</v>
      </c>
      <c r="B211" s="160" t="s">
        <v>11</v>
      </c>
      <c r="C211" s="159">
        <v>39</v>
      </c>
      <c r="D211" s="159" t="s">
        <v>230</v>
      </c>
      <c r="E211" s="161"/>
      <c r="F211" s="162">
        <v>10</v>
      </c>
      <c r="G211" s="162">
        <v>4</v>
      </c>
    </row>
    <row r="212" spans="1:7" ht="33.75">
      <c r="A212" s="159" t="s">
        <v>566</v>
      </c>
      <c r="B212" s="160" t="s">
        <v>231</v>
      </c>
      <c r="C212" s="159">
        <v>19</v>
      </c>
      <c r="D212" s="159" t="s">
        <v>232</v>
      </c>
      <c r="E212" s="161"/>
      <c r="F212" s="162">
        <v>4</v>
      </c>
      <c r="G212" s="162">
        <v>4</v>
      </c>
    </row>
    <row r="213" spans="1:7" ht="22.5">
      <c r="A213" s="163" t="s">
        <v>568</v>
      </c>
      <c r="B213" s="164" t="s">
        <v>231</v>
      </c>
      <c r="C213" s="163">
        <v>24</v>
      </c>
      <c r="D213" s="163" t="s">
        <v>66</v>
      </c>
      <c r="E213" s="161"/>
      <c r="F213" s="162">
        <v>8</v>
      </c>
      <c r="G213" s="162">
        <v>4</v>
      </c>
    </row>
    <row r="214" spans="1:7" ht="33.75">
      <c r="A214" s="163" t="s">
        <v>567</v>
      </c>
      <c r="B214" s="164" t="s">
        <v>233</v>
      </c>
      <c r="C214" s="163">
        <v>42</v>
      </c>
      <c r="D214" s="163" t="s">
        <v>65</v>
      </c>
      <c r="E214" s="161"/>
      <c r="F214" s="162"/>
      <c r="G214" s="162"/>
    </row>
    <row r="215" spans="1:7" ht="56.25">
      <c r="A215" s="307" t="s">
        <v>652</v>
      </c>
      <c r="B215" s="310" t="s">
        <v>645</v>
      </c>
      <c r="C215" s="161">
        <v>24</v>
      </c>
      <c r="D215" s="159" t="s">
        <v>649</v>
      </c>
      <c r="E215" s="161"/>
      <c r="F215" s="162">
        <v>12</v>
      </c>
      <c r="G215" s="162">
        <v>4</v>
      </c>
    </row>
    <row r="216" spans="1:7" ht="33.75">
      <c r="A216" s="163" t="s">
        <v>570</v>
      </c>
      <c r="B216" s="164" t="s">
        <v>11</v>
      </c>
      <c r="C216" s="163">
        <v>41</v>
      </c>
      <c r="D216" s="163" t="s">
        <v>68</v>
      </c>
      <c r="E216" s="161"/>
      <c r="F216" s="162">
        <v>6</v>
      </c>
      <c r="G216" s="162">
        <v>10</v>
      </c>
    </row>
    <row r="217" spans="1:7" ht="22.5">
      <c r="A217" s="163" t="s">
        <v>573</v>
      </c>
      <c r="B217" s="164" t="s">
        <v>313</v>
      </c>
      <c r="C217" s="163">
        <v>25</v>
      </c>
      <c r="D217" s="163" t="s">
        <v>316</v>
      </c>
      <c r="E217" s="161"/>
      <c r="F217" s="162">
        <v>10</v>
      </c>
      <c r="G217" s="162">
        <v>4</v>
      </c>
    </row>
    <row r="218" spans="1:7" ht="22.5">
      <c r="A218" s="159" t="s">
        <v>574</v>
      </c>
      <c r="B218" s="160" t="s">
        <v>231</v>
      </c>
      <c r="C218" s="159">
        <v>26</v>
      </c>
      <c r="D218" s="159" t="s">
        <v>317</v>
      </c>
      <c r="E218" s="161"/>
      <c r="F218" s="162">
        <v>10</v>
      </c>
      <c r="G218" s="162">
        <v>6</v>
      </c>
    </row>
    <row r="219" spans="1:7" ht="45">
      <c r="A219" s="159" t="s">
        <v>571</v>
      </c>
      <c r="B219" s="160" t="s">
        <v>69</v>
      </c>
      <c r="C219" s="159">
        <v>10</v>
      </c>
      <c r="D219" s="159" t="s">
        <v>314</v>
      </c>
      <c r="E219" s="161"/>
      <c r="F219" s="162">
        <v>8</v>
      </c>
      <c r="G219" s="162">
        <v>10</v>
      </c>
    </row>
    <row r="220" spans="1:7" ht="45">
      <c r="A220" s="163" t="s">
        <v>575</v>
      </c>
      <c r="B220" s="164" t="s">
        <v>15</v>
      </c>
      <c r="C220" s="163">
        <v>59</v>
      </c>
      <c r="D220" s="163" t="s">
        <v>318</v>
      </c>
      <c r="E220" s="161"/>
      <c r="F220" s="162">
        <v>4</v>
      </c>
      <c r="G220" s="162">
        <v>4</v>
      </c>
    </row>
    <row r="221" spans="1:7" ht="45">
      <c r="A221" s="163" t="s">
        <v>576</v>
      </c>
      <c r="B221" s="164" t="s">
        <v>69</v>
      </c>
      <c r="C221" s="163">
        <v>13</v>
      </c>
      <c r="D221" s="163" t="s">
        <v>319</v>
      </c>
      <c r="E221" s="161"/>
      <c r="F221" s="162">
        <v>6</v>
      </c>
      <c r="G221" s="162">
        <v>8</v>
      </c>
    </row>
    <row r="222" spans="1:7" ht="45">
      <c r="A222" s="302" t="s">
        <v>578</v>
      </c>
      <c r="B222" s="309" t="s">
        <v>313</v>
      </c>
      <c r="C222" s="302">
        <v>29</v>
      </c>
      <c r="D222" s="159" t="s">
        <v>16</v>
      </c>
      <c r="E222" s="139"/>
      <c r="F222" s="303">
        <v>8</v>
      </c>
      <c r="G222" s="303">
        <v>6</v>
      </c>
    </row>
    <row r="223" spans="1:7" ht="22.5">
      <c r="A223" s="308" t="s">
        <v>577</v>
      </c>
      <c r="B223" s="311" t="s">
        <v>311</v>
      </c>
      <c r="C223" s="308">
        <v>11</v>
      </c>
      <c r="D223" s="163" t="s">
        <v>320</v>
      </c>
      <c r="E223" s="139"/>
      <c r="F223" s="303">
        <v>10</v>
      </c>
      <c r="G223" s="303">
        <v>6</v>
      </c>
    </row>
    <row r="224" spans="1:7" ht="22.5">
      <c r="A224" s="302" t="s">
        <v>569</v>
      </c>
      <c r="B224" s="309" t="s">
        <v>11</v>
      </c>
      <c r="C224" s="302">
        <v>41</v>
      </c>
      <c r="D224" s="159" t="s">
        <v>67</v>
      </c>
      <c r="E224" s="139"/>
      <c r="F224" s="303">
        <v>8</v>
      </c>
      <c r="G224" s="303">
        <v>8</v>
      </c>
    </row>
    <row r="225" spans="1:7" ht="22.5">
      <c r="A225" s="302" t="s">
        <v>581</v>
      </c>
      <c r="B225" s="309" t="s">
        <v>231</v>
      </c>
      <c r="C225" s="302">
        <v>29</v>
      </c>
      <c r="D225" s="159" t="s">
        <v>47</v>
      </c>
      <c r="E225" s="139"/>
      <c r="F225" s="303">
        <v>6</v>
      </c>
      <c r="G225" s="303">
        <v>6</v>
      </c>
    </row>
    <row r="226" spans="1:7" ht="11.25">
      <c r="A226" s="304"/>
      <c r="B226" s="139"/>
      <c r="C226" s="139"/>
      <c r="D226" s="139"/>
      <c r="E226" s="139"/>
      <c r="F226" s="303"/>
      <c r="G226" s="303"/>
    </row>
    <row r="227" spans="1:7" ht="11.25">
      <c r="A227" s="304"/>
      <c r="B227" s="139"/>
      <c r="C227" s="139"/>
      <c r="D227" s="139"/>
      <c r="E227" s="139"/>
      <c r="F227" s="303"/>
      <c r="G227" s="303"/>
    </row>
    <row r="228" ht="11.25">
      <c r="A228" s="171"/>
    </row>
    <row r="229" spans="1:2" ht="11.25">
      <c r="A229" s="305" t="s">
        <v>582</v>
      </c>
      <c r="B229" s="133">
        <v>2</v>
      </c>
    </row>
    <row r="230" spans="1:2" ht="11.25">
      <c r="A230" s="306">
        <v>0</v>
      </c>
      <c r="B230" s="138"/>
    </row>
    <row r="231" spans="1:2" ht="11.25">
      <c r="A231" s="168">
        <v>1</v>
      </c>
      <c r="B231" s="138">
        <v>1</v>
      </c>
    </row>
    <row r="232" spans="1:2" ht="11.25">
      <c r="A232" s="137">
        <v>2</v>
      </c>
      <c r="B232" s="138">
        <v>1</v>
      </c>
    </row>
    <row r="233" spans="1:2" ht="11.25">
      <c r="A233" s="137">
        <v>3</v>
      </c>
      <c r="B233" s="138"/>
    </row>
    <row r="234" spans="1:2" ht="11.25">
      <c r="A234" s="137">
        <v>4</v>
      </c>
      <c r="B234" s="138">
        <v>1</v>
      </c>
    </row>
    <row r="235" spans="1:2" ht="11.25">
      <c r="A235" s="137">
        <v>5</v>
      </c>
      <c r="B235" s="138"/>
    </row>
    <row r="236" spans="1:2" ht="11.25">
      <c r="A236" s="137">
        <v>6</v>
      </c>
      <c r="B236" s="138"/>
    </row>
    <row r="237" spans="1:2" ht="11.25">
      <c r="A237" s="137">
        <v>7</v>
      </c>
      <c r="B237" s="138"/>
    </row>
    <row r="238" spans="1:2" ht="11.25">
      <c r="A238" s="137">
        <v>8</v>
      </c>
      <c r="B238" s="138"/>
    </row>
    <row r="239" spans="1:2" ht="11.25">
      <c r="A239" s="137">
        <v>9</v>
      </c>
      <c r="B239" s="138"/>
    </row>
    <row r="240" spans="1:2" ht="11.25">
      <c r="A240" s="137">
        <v>10</v>
      </c>
      <c r="B240" s="138"/>
    </row>
    <row r="241" spans="1:2" ht="11.25">
      <c r="A241" s="137">
        <v>11</v>
      </c>
      <c r="B241" s="138"/>
    </row>
    <row r="242" spans="1:2" ht="11.25">
      <c r="A242" s="137">
        <v>12</v>
      </c>
      <c r="B242" s="138"/>
    </row>
    <row r="243" spans="1:2" ht="11.25">
      <c r="A243" s="137">
        <v>13</v>
      </c>
      <c r="B243" s="138"/>
    </row>
    <row r="244" spans="1:2" ht="11.25">
      <c r="A244" s="137">
        <v>14</v>
      </c>
      <c r="B244" s="138"/>
    </row>
    <row r="245" spans="1:2" ht="11.25">
      <c r="A245" s="137">
        <v>15</v>
      </c>
      <c r="B245" s="138"/>
    </row>
    <row r="246" spans="1:2" ht="11.25">
      <c r="A246" s="137">
        <v>16</v>
      </c>
      <c r="B246" s="138"/>
    </row>
    <row r="247" spans="1:2" ht="11.25">
      <c r="A247" s="137">
        <v>17</v>
      </c>
      <c r="B247" s="138"/>
    </row>
    <row r="248" spans="1:2" ht="11.25">
      <c r="A248" s="137">
        <v>18</v>
      </c>
      <c r="B248" s="138"/>
    </row>
    <row r="249" spans="1:2" ht="11.25">
      <c r="A249" s="137">
        <v>19</v>
      </c>
      <c r="B249" s="138"/>
    </row>
    <row r="250" spans="1:2" ht="11.25">
      <c r="A250" s="142">
        <v>20</v>
      </c>
      <c r="B250" s="143"/>
    </row>
    <row r="252" spans="1:3" ht="11.25">
      <c r="A252" s="165" t="s">
        <v>584</v>
      </c>
      <c r="B252" s="154"/>
      <c r="C252" s="133"/>
    </row>
    <row r="253" spans="1:3" ht="11.25">
      <c r="A253" s="137">
        <v>2</v>
      </c>
      <c r="B253" s="139">
        <v>-4</v>
      </c>
      <c r="C253" s="138">
        <v>1</v>
      </c>
    </row>
    <row r="254" spans="1:3" ht="11.25">
      <c r="A254" s="137">
        <v>3</v>
      </c>
      <c r="B254" s="139">
        <v>-4</v>
      </c>
      <c r="C254" s="138">
        <v>1</v>
      </c>
    </row>
    <row r="255" spans="1:3" ht="11.25">
      <c r="A255" s="137">
        <v>4</v>
      </c>
      <c r="B255" s="139">
        <v>-3</v>
      </c>
      <c r="C255" s="138">
        <v>1</v>
      </c>
    </row>
    <row r="256" spans="1:3" ht="11.25">
      <c r="A256" s="137">
        <v>5</v>
      </c>
      <c r="B256" s="139">
        <v>-3</v>
      </c>
      <c r="C256" s="138">
        <v>1</v>
      </c>
    </row>
    <row r="257" spans="1:3" ht="11.25">
      <c r="A257" s="137">
        <v>6</v>
      </c>
      <c r="B257" s="139">
        <v>-2</v>
      </c>
      <c r="C257" s="138">
        <v>1</v>
      </c>
    </row>
    <row r="258" spans="1:3" ht="11.25">
      <c r="A258" s="137">
        <v>7</v>
      </c>
      <c r="B258" s="139">
        <v>-2</v>
      </c>
      <c r="C258" s="138">
        <v>1</v>
      </c>
    </row>
    <row r="259" spans="1:3" ht="11.25">
      <c r="A259" s="137">
        <v>8</v>
      </c>
      <c r="B259" s="139">
        <v>-1</v>
      </c>
      <c r="C259" s="138">
        <v>1</v>
      </c>
    </row>
    <row r="260" spans="1:3" ht="11.25">
      <c r="A260" s="137">
        <v>9</v>
      </c>
      <c r="B260" s="139">
        <v>-1</v>
      </c>
      <c r="C260" s="138"/>
    </row>
    <row r="261" spans="1:3" ht="11.25">
      <c r="A261" s="137">
        <v>10</v>
      </c>
      <c r="B261" s="139">
        <v>0</v>
      </c>
      <c r="C261" s="138"/>
    </row>
    <row r="262" spans="1:3" ht="11.25">
      <c r="A262" s="137">
        <v>11</v>
      </c>
      <c r="B262" s="139">
        <v>0</v>
      </c>
      <c r="C262" s="138"/>
    </row>
    <row r="263" spans="1:3" ht="11.25">
      <c r="A263" s="137">
        <v>12</v>
      </c>
      <c r="B263" s="139">
        <v>1</v>
      </c>
      <c r="C263" s="138"/>
    </row>
    <row r="264" spans="1:3" ht="11.25">
      <c r="A264" s="137">
        <v>13</v>
      </c>
      <c r="B264" s="139">
        <v>1</v>
      </c>
      <c r="C264" s="138"/>
    </row>
    <row r="265" spans="1:3" ht="11.25">
      <c r="A265" s="137">
        <v>14</v>
      </c>
      <c r="B265" s="139">
        <v>2</v>
      </c>
      <c r="C265" s="138"/>
    </row>
    <row r="266" spans="1:3" ht="11.25">
      <c r="A266" s="137">
        <v>15</v>
      </c>
      <c r="B266" s="139">
        <v>2</v>
      </c>
      <c r="C266" s="138"/>
    </row>
    <row r="267" spans="1:3" ht="11.25">
      <c r="A267" s="137">
        <v>16</v>
      </c>
      <c r="B267" s="139">
        <v>3</v>
      </c>
      <c r="C267" s="138"/>
    </row>
    <row r="268" spans="1:3" ht="11.25">
      <c r="A268" s="137">
        <v>17</v>
      </c>
      <c r="B268" s="139">
        <v>3</v>
      </c>
      <c r="C268" s="138"/>
    </row>
    <row r="269" spans="1:3" ht="11.25">
      <c r="A269" s="137">
        <v>18</v>
      </c>
      <c r="B269" s="139">
        <v>4</v>
      </c>
      <c r="C269" s="138"/>
    </row>
    <row r="270" spans="1:3" ht="11.25">
      <c r="A270" s="137">
        <v>19</v>
      </c>
      <c r="B270" s="139">
        <v>4</v>
      </c>
      <c r="C270" s="138"/>
    </row>
    <row r="271" spans="1:3" ht="11.25">
      <c r="A271" s="137">
        <v>20</v>
      </c>
      <c r="B271" s="139">
        <v>5</v>
      </c>
      <c r="C271" s="138"/>
    </row>
    <row r="272" spans="1:3" ht="11.25">
      <c r="A272" s="137">
        <v>21</v>
      </c>
      <c r="B272" s="139">
        <v>5</v>
      </c>
      <c r="C272" s="138"/>
    </row>
    <row r="273" spans="1:3" ht="11.25">
      <c r="A273" s="137">
        <v>22</v>
      </c>
      <c r="B273" s="139">
        <v>6</v>
      </c>
      <c r="C273" s="138"/>
    </row>
    <row r="274" spans="1:3" ht="11.25">
      <c r="A274" s="137">
        <v>23</v>
      </c>
      <c r="B274" s="139">
        <v>6</v>
      </c>
      <c r="C274" s="138"/>
    </row>
    <row r="275" spans="1:3" ht="11.25">
      <c r="A275" s="137">
        <v>24</v>
      </c>
      <c r="B275" s="139">
        <v>7</v>
      </c>
      <c r="C275" s="138"/>
    </row>
    <row r="276" spans="1:3" ht="11.25">
      <c r="A276" s="137">
        <v>25</v>
      </c>
      <c r="B276" s="139">
        <v>7</v>
      </c>
      <c r="C276" s="138"/>
    </row>
    <row r="277" spans="1:3" ht="11.25">
      <c r="A277" s="137">
        <v>26</v>
      </c>
      <c r="B277" s="139">
        <v>8</v>
      </c>
      <c r="C277" s="138"/>
    </row>
    <row r="278" spans="1:3" ht="11.25">
      <c r="A278" s="142">
        <v>27</v>
      </c>
      <c r="B278" s="156">
        <v>8</v>
      </c>
      <c r="C278" s="143"/>
    </row>
    <row r="279" ht="11.25">
      <c r="B279" s="166"/>
    </row>
    <row r="280" spans="1:3" ht="11.25">
      <c r="A280" s="132" t="s">
        <v>36</v>
      </c>
      <c r="C280" s="133"/>
    </row>
    <row r="281" spans="1:3" ht="11.25">
      <c r="A281" s="137" t="s">
        <v>426</v>
      </c>
      <c r="C281" s="138"/>
    </row>
    <row r="282" spans="1:3" ht="11.25">
      <c r="A282" s="137" t="s">
        <v>37</v>
      </c>
      <c r="B282" s="134">
        <v>1</v>
      </c>
      <c r="C282" s="138">
        <v>1</v>
      </c>
    </row>
    <row r="283" spans="1:3" ht="11.25">
      <c r="A283" s="137" t="s">
        <v>38</v>
      </c>
      <c r="B283" s="134">
        <v>15</v>
      </c>
      <c r="C283" s="138">
        <v>1</v>
      </c>
    </row>
    <row r="284" spans="1:3" ht="11.25">
      <c r="A284" s="137" t="s">
        <v>39</v>
      </c>
      <c r="B284" s="134">
        <v>4.5</v>
      </c>
      <c r="C284" s="138">
        <v>1</v>
      </c>
    </row>
    <row r="285" spans="1:3" ht="11.25">
      <c r="A285" s="137" t="s">
        <v>40</v>
      </c>
      <c r="B285" s="134">
        <v>1</v>
      </c>
      <c r="C285" s="138">
        <v>1</v>
      </c>
    </row>
    <row r="286" spans="1:3" ht="11.25">
      <c r="A286" s="137" t="s">
        <v>41</v>
      </c>
      <c r="B286" s="134">
        <v>12.5</v>
      </c>
      <c r="C286" s="138">
        <v>1</v>
      </c>
    </row>
    <row r="287" spans="1:3" ht="11.25">
      <c r="A287" s="137" t="s">
        <v>43</v>
      </c>
      <c r="B287" s="134">
        <v>0.3</v>
      </c>
      <c r="C287" s="138">
        <v>1</v>
      </c>
    </row>
    <row r="288" spans="1:3" ht="11.25">
      <c r="A288" s="137" t="s">
        <v>42</v>
      </c>
      <c r="B288" s="134">
        <v>0.5</v>
      </c>
      <c r="C288" s="138">
        <v>1</v>
      </c>
    </row>
    <row r="289" spans="1:3" ht="11.25">
      <c r="A289" s="137" t="s">
        <v>44</v>
      </c>
      <c r="B289" s="134">
        <v>4</v>
      </c>
      <c r="C289" s="138">
        <v>1</v>
      </c>
    </row>
    <row r="290" spans="1:3" ht="11.25">
      <c r="A290" s="137" t="s">
        <v>45</v>
      </c>
      <c r="B290" s="134">
        <v>1</v>
      </c>
      <c r="C290" s="138">
        <v>1</v>
      </c>
    </row>
    <row r="291" spans="1:3" ht="11.25">
      <c r="A291" s="137" t="s">
        <v>189</v>
      </c>
      <c r="B291" s="134">
        <v>0</v>
      </c>
      <c r="C291" s="138">
        <v>1</v>
      </c>
    </row>
    <row r="292" spans="1:3" ht="11.25">
      <c r="A292" s="137" t="s">
        <v>33</v>
      </c>
      <c r="B292" s="134">
        <v>0.75</v>
      </c>
      <c r="C292" s="138">
        <v>1</v>
      </c>
    </row>
    <row r="293" spans="1:3" ht="11.25">
      <c r="A293" s="137" t="s">
        <v>190</v>
      </c>
      <c r="B293" s="134">
        <v>2.5</v>
      </c>
      <c r="C293" s="138">
        <v>1</v>
      </c>
    </row>
    <row r="294" spans="1:3" ht="11.25">
      <c r="A294" s="137" t="s">
        <v>193</v>
      </c>
      <c r="B294" s="134">
        <v>0.5</v>
      </c>
      <c r="C294" s="138">
        <v>1</v>
      </c>
    </row>
    <row r="295" spans="1:3" ht="11.25">
      <c r="A295" s="137" t="s">
        <v>191</v>
      </c>
      <c r="B295" s="134">
        <v>2</v>
      </c>
      <c r="C295" s="138"/>
    </row>
    <row r="296" spans="1:3" ht="11.25">
      <c r="A296" s="137" t="s">
        <v>192</v>
      </c>
      <c r="B296" s="134">
        <v>5</v>
      </c>
      <c r="C296" s="138"/>
    </row>
    <row r="297" spans="1:3" ht="11.25">
      <c r="A297" s="137" t="s">
        <v>35</v>
      </c>
      <c r="B297" s="134">
        <v>0.1</v>
      </c>
      <c r="C297" s="138"/>
    </row>
    <row r="298" spans="1:3" ht="11.25">
      <c r="A298" s="142" t="s">
        <v>34</v>
      </c>
      <c r="B298" s="156">
        <v>2</v>
      </c>
      <c r="C298" s="143"/>
    </row>
    <row r="300" spans="1:3" ht="11.25">
      <c r="A300" s="132" t="s">
        <v>71</v>
      </c>
      <c r="B300" s="167"/>
      <c r="C300" s="133"/>
    </row>
    <row r="301" spans="1:3" ht="11.25">
      <c r="A301" s="168" t="s">
        <v>215</v>
      </c>
      <c r="B301" s="169" t="s">
        <v>218</v>
      </c>
      <c r="C301" s="138">
        <v>15</v>
      </c>
    </row>
    <row r="302" spans="1:3" ht="11.25">
      <c r="A302" s="168" t="s">
        <v>206</v>
      </c>
      <c r="B302" s="169" t="s">
        <v>242</v>
      </c>
      <c r="C302" s="138"/>
    </row>
    <row r="303" spans="1:3" ht="11.25">
      <c r="A303" s="168" t="s">
        <v>204</v>
      </c>
      <c r="B303" s="169" t="s">
        <v>196</v>
      </c>
      <c r="C303" s="138"/>
    </row>
    <row r="304" spans="1:3" ht="11.25">
      <c r="A304" s="168" t="s">
        <v>212</v>
      </c>
      <c r="B304" s="169" t="s">
        <v>243</v>
      </c>
      <c r="C304" s="138"/>
    </row>
    <row r="305" spans="1:3" ht="11.25">
      <c r="A305" s="168" t="s">
        <v>467</v>
      </c>
      <c r="B305" s="169" t="s">
        <v>234</v>
      </c>
      <c r="C305" s="138"/>
    </row>
    <row r="306" spans="1:3" ht="11.25">
      <c r="A306" s="168" t="s">
        <v>208</v>
      </c>
      <c r="B306" s="169" t="s">
        <v>128</v>
      </c>
      <c r="C306" s="138"/>
    </row>
    <row r="307" spans="1:3" ht="11.25">
      <c r="A307" s="168" t="s">
        <v>70</v>
      </c>
      <c r="B307" s="169" t="s">
        <v>129</v>
      </c>
      <c r="C307" s="138"/>
    </row>
    <row r="308" spans="1:3" ht="11.25">
      <c r="A308" s="168" t="s">
        <v>469</v>
      </c>
      <c r="B308" s="169" t="s">
        <v>585</v>
      </c>
      <c r="C308" s="138"/>
    </row>
    <row r="309" spans="1:3" ht="18" customHeight="1">
      <c r="A309" s="168" t="s">
        <v>470</v>
      </c>
      <c r="B309" s="169" t="s">
        <v>235</v>
      </c>
      <c r="C309" s="138"/>
    </row>
    <row r="310" spans="1:3" ht="11.25">
      <c r="A310" s="168" t="s">
        <v>209</v>
      </c>
      <c r="B310" s="169" t="s">
        <v>198</v>
      </c>
      <c r="C310" s="138"/>
    </row>
    <row r="311" spans="1:3" ht="11.25">
      <c r="A311" s="168" t="s">
        <v>200</v>
      </c>
      <c r="B311" s="169" t="s">
        <v>385</v>
      </c>
      <c r="C311" s="138"/>
    </row>
    <row r="312" spans="1:3" ht="11.25">
      <c r="A312" s="168" t="s">
        <v>210</v>
      </c>
      <c r="B312" s="169" t="s">
        <v>199</v>
      </c>
      <c r="C312" s="138"/>
    </row>
    <row r="313" spans="1:3" ht="11.25">
      <c r="A313" s="168" t="s">
        <v>201</v>
      </c>
      <c r="B313" s="169" t="s">
        <v>130</v>
      </c>
      <c r="C313" s="138"/>
    </row>
    <row r="314" spans="1:3" ht="11.25">
      <c r="A314" s="168" t="s">
        <v>214</v>
      </c>
      <c r="B314" s="169" t="s">
        <v>217</v>
      </c>
      <c r="C314" s="138"/>
    </row>
    <row r="315" spans="1:3" ht="11.25">
      <c r="A315" s="168" t="s">
        <v>465</v>
      </c>
      <c r="B315" s="169" t="s">
        <v>72</v>
      </c>
      <c r="C315" s="138"/>
    </row>
    <row r="316" spans="1:3" ht="11.25">
      <c r="A316" s="168" t="s">
        <v>473</v>
      </c>
      <c r="B316" s="169" t="s">
        <v>236</v>
      </c>
      <c r="C316" s="138"/>
    </row>
    <row r="317" spans="1:3" ht="11.25">
      <c r="A317" s="168" t="s">
        <v>474</v>
      </c>
      <c r="B317" s="169" t="s">
        <v>237</v>
      </c>
      <c r="C317" s="138"/>
    </row>
    <row r="318" spans="1:3" ht="11.25">
      <c r="A318" s="168" t="s">
        <v>205</v>
      </c>
      <c r="B318" s="169" t="s">
        <v>216</v>
      </c>
      <c r="C318" s="138"/>
    </row>
    <row r="319" spans="1:3" ht="11.25">
      <c r="A319" s="168" t="s">
        <v>207</v>
      </c>
      <c r="B319" s="170" t="s">
        <v>238</v>
      </c>
      <c r="C319" s="138"/>
    </row>
    <row r="320" spans="1:3" ht="11.25">
      <c r="A320" s="168" t="s">
        <v>202</v>
      </c>
      <c r="B320" s="169" t="s">
        <v>131</v>
      </c>
      <c r="C320" s="138"/>
    </row>
    <row r="321" spans="1:3" ht="11.25">
      <c r="A321" s="168" t="s">
        <v>203</v>
      </c>
      <c r="B321" s="169" t="s">
        <v>386</v>
      </c>
      <c r="C321" s="138"/>
    </row>
    <row r="322" spans="1:3" ht="11.25">
      <c r="A322" s="168" t="s">
        <v>213</v>
      </c>
      <c r="B322" s="169" t="s">
        <v>239</v>
      </c>
      <c r="C322" s="138"/>
    </row>
    <row r="323" spans="1:3" ht="11.25">
      <c r="A323" s="149" t="s">
        <v>466</v>
      </c>
      <c r="B323" s="170" t="s">
        <v>132</v>
      </c>
      <c r="C323" s="143"/>
    </row>
    <row r="324" ht="11.25">
      <c r="A324" s="171"/>
    </row>
    <row r="325" ht="11.25">
      <c r="A325" s="171"/>
    </row>
    <row r="326" ht="11.25">
      <c r="A326" s="171"/>
    </row>
    <row r="327" spans="1:4" ht="11.25">
      <c r="A327" s="172" t="s">
        <v>587</v>
      </c>
      <c r="B327" s="154"/>
      <c r="C327" s="133">
        <v>29</v>
      </c>
      <c r="D327" s="139"/>
    </row>
    <row r="328" spans="1:4" ht="11.25">
      <c r="A328" s="173" t="s">
        <v>598</v>
      </c>
      <c r="B328" s="139" t="s">
        <v>589</v>
      </c>
      <c r="C328" s="138">
        <v>29</v>
      </c>
      <c r="D328" s="139"/>
    </row>
    <row r="329" spans="1:4" ht="11.25">
      <c r="A329" s="168" t="s">
        <v>364</v>
      </c>
      <c r="B329" s="139" t="s">
        <v>363</v>
      </c>
      <c r="C329" s="138">
        <v>29</v>
      </c>
      <c r="D329" s="139"/>
    </row>
    <row r="330" spans="1:4" ht="11.25">
      <c r="A330" s="168" t="s">
        <v>365</v>
      </c>
      <c r="B330" s="139" t="s">
        <v>366</v>
      </c>
      <c r="C330" s="138">
        <v>29</v>
      </c>
      <c r="D330" s="139"/>
    </row>
    <row r="331" spans="1:4" ht="11.25">
      <c r="A331" s="168" t="s">
        <v>599</v>
      </c>
      <c r="B331" s="139" t="s">
        <v>588</v>
      </c>
      <c r="C331" s="138">
        <v>29</v>
      </c>
      <c r="D331" s="139"/>
    </row>
    <row r="332" spans="1:4" ht="11.25">
      <c r="A332" s="168" t="s">
        <v>600</v>
      </c>
      <c r="B332" s="139" t="s">
        <v>590</v>
      </c>
      <c r="C332" s="138"/>
      <c r="D332" s="139"/>
    </row>
    <row r="333" spans="1:4" ht="11.25">
      <c r="A333" s="168" t="s">
        <v>368</v>
      </c>
      <c r="B333" s="139" t="s">
        <v>367</v>
      </c>
      <c r="C333" s="138"/>
      <c r="D333" s="139"/>
    </row>
    <row r="334" spans="1:4" ht="11.25">
      <c r="A334" s="168" t="s">
        <v>370</v>
      </c>
      <c r="B334" s="139" t="s">
        <v>369</v>
      </c>
      <c r="C334" s="138"/>
      <c r="D334" s="139"/>
    </row>
    <row r="335" spans="1:4" ht="11.25">
      <c r="A335" s="168" t="s">
        <v>601</v>
      </c>
      <c r="B335" s="139" t="s">
        <v>591</v>
      </c>
      <c r="C335" s="138"/>
      <c r="D335" s="139"/>
    </row>
    <row r="336" spans="1:4" ht="11.25">
      <c r="A336" s="168" t="s">
        <v>602</v>
      </c>
      <c r="B336" s="139" t="s">
        <v>592</v>
      </c>
      <c r="C336" s="138"/>
      <c r="D336" s="139"/>
    </row>
    <row r="337" spans="1:4" ht="11.25">
      <c r="A337" s="137" t="s">
        <v>612</v>
      </c>
      <c r="B337" s="139" t="s">
        <v>593</v>
      </c>
      <c r="C337" s="138"/>
      <c r="D337" s="139"/>
    </row>
    <row r="338" spans="1:4" ht="11.25">
      <c r="A338" s="137" t="s">
        <v>611</v>
      </c>
      <c r="B338" s="139" t="s">
        <v>614</v>
      </c>
      <c r="C338" s="138"/>
      <c r="D338" s="139"/>
    </row>
    <row r="339" spans="1:4" ht="11.25">
      <c r="A339" s="137" t="s">
        <v>620</v>
      </c>
      <c r="B339" s="139" t="s">
        <v>615</v>
      </c>
      <c r="C339" s="138"/>
      <c r="D339" s="139"/>
    </row>
    <row r="340" spans="1:4" ht="11.25">
      <c r="A340" s="137" t="s">
        <v>608</v>
      </c>
      <c r="B340" s="139" t="s">
        <v>616</v>
      </c>
      <c r="C340" s="138"/>
      <c r="D340" s="139"/>
    </row>
    <row r="341" spans="1:4" ht="11.25">
      <c r="A341" s="137" t="s">
        <v>586</v>
      </c>
      <c r="B341" s="139" t="s">
        <v>617</v>
      </c>
      <c r="C341" s="138"/>
      <c r="D341" s="139"/>
    </row>
    <row r="342" spans="1:4" ht="11.25">
      <c r="A342" s="137" t="s">
        <v>603</v>
      </c>
      <c r="B342" s="139" t="s">
        <v>594</v>
      </c>
      <c r="C342" s="138"/>
      <c r="D342" s="139"/>
    </row>
    <row r="343" spans="1:4" ht="11.25">
      <c r="A343" s="137" t="s">
        <v>372</v>
      </c>
      <c r="B343" s="139" t="s">
        <v>371</v>
      </c>
      <c r="C343" s="138"/>
      <c r="D343" s="139"/>
    </row>
    <row r="344" spans="1:4" ht="11.25">
      <c r="A344" s="137" t="s">
        <v>610</v>
      </c>
      <c r="B344" s="139" t="s">
        <v>595</v>
      </c>
      <c r="C344" s="138"/>
      <c r="D344" s="139"/>
    </row>
    <row r="345" spans="1:4" ht="11.25">
      <c r="A345" s="137" t="s">
        <v>374</v>
      </c>
      <c r="B345" s="139" t="s">
        <v>373</v>
      </c>
      <c r="C345" s="138"/>
      <c r="D345" s="139"/>
    </row>
    <row r="346" spans="1:4" ht="11.25">
      <c r="A346" s="137" t="s">
        <v>375</v>
      </c>
      <c r="B346" s="139" t="s">
        <v>376</v>
      </c>
      <c r="C346" s="138"/>
      <c r="D346" s="139"/>
    </row>
    <row r="347" spans="1:4" ht="11.25">
      <c r="A347" s="137" t="s">
        <v>604</v>
      </c>
      <c r="B347" s="139" t="s">
        <v>618</v>
      </c>
      <c r="C347" s="138"/>
      <c r="D347" s="139"/>
    </row>
    <row r="348" spans="1:4" ht="11.25">
      <c r="A348" s="137" t="s">
        <v>377</v>
      </c>
      <c r="B348" s="139" t="s">
        <v>378</v>
      </c>
      <c r="C348" s="138"/>
      <c r="D348" s="139"/>
    </row>
    <row r="349" spans="1:4" ht="11.25">
      <c r="A349" s="137" t="s">
        <v>379</v>
      </c>
      <c r="B349" s="139" t="s">
        <v>380</v>
      </c>
      <c r="C349" s="138"/>
      <c r="D349" s="139"/>
    </row>
    <row r="350" spans="1:4" ht="11.25">
      <c r="A350" s="137" t="s">
        <v>605</v>
      </c>
      <c r="B350" s="139" t="s">
        <v>619</v>
      </c>
      <c r="C350" s="138"/>
      <c r="D350" s="139"/>
    </row>
    <row r="351" spans="1:4" ht="11.25">
      <c r="A351" s="137" t="s">
        <v>381</v>
      </c>
      <c r="B351" s="139" t="s">
        <v>382</v>
      </c>
      <c r="C351" s="138"/>
      <c r="D351" s="139"/>
    </row>
    <row r="352" spans="1:4" ht="11.25">
      <c r="A352" s="137" t="s">
        <v>609</v>
      </c>
      <c r="B352" s="139" t="s">
        <v>596</v>
      </c>
      <c r="C352" s="138"/>
      <c r="D352" s="139"/>
    </row>
    <row r="353" spans="1:4" ht="11.25">
      <c r="A353" s="137" t="s">
        <v>383</v>
      </c>
      <c r="B353" s="139" t="s">
        <v>384</v>
      </c>
      <c r="C353" s="138"/>
      <c r="D353" s="139"/>
    </row>
    <row r="354" spans="1:4" ht="11.25">
      <c r="A354" s="137" t="s">
        <v>606</v>
      </c>
      <c r="B354" s="139" t="s">
        <v>597</v>
      </c>
      <c r="C354" s="138"/>
      <c r="D354" s="139"/>
    </row>
    <row r="355" spans="1:4" ht="11.25">
      <c r="A355" s="137" t="s">
        <v>607</v>
      </c>
      <c r="B355" s="139" t="s">
        <v>622</v>
      </c>
      <c r="C355" s="138"/>
      <c r="D355" s="139"/>
    </row>
    <row r="356" spans="1:3" ht="11.25">
      <c r="A356" s="142" t="s">
        <v>613</v>
      </c>
      <c r="B356" s="156" t="s">
        <v>434</v>
      </c>
      <c r="C356" s="143"/>
    </row>
    <row r="358" spans="1:15" ht="18.75">
      <c r="A358" s="186" t="s">
        <v>211</v>
      </c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87"/>
    </row>
    <row r="359" spans="1:15" ht="18.75">
      <c r="A359" s="194" t="s">
        <v>471</v>
      </c>
      <c r="B359" s="154"/>
      <c r="C359" s="195" t="s">
        <v>387</v>
      </c>
      <c r="D359" s="196" t="s">
        <v>123</v>
      </c>
      <c r="E359" s="1"/>
      <c r="F359" s="1"/>
      <c r="G359" s="1"/>
      <c r="H359" s="1"/>
      <c r="J359" s="175"/>
      <c r="K359" s="175"/>
      <c r="L359" s="175"/>
      <c r="N359" s="1"/>
      <c r="O359" s="187"/>
    </row>
    <row r="360" spans="1:15" ht="18.75">
      <c r="A360" s="197" t="s">
        <v>215</v>
      </c>
      <c r="B360" s="3" t="s">
        <v>494</v>
      </c>
      <c r="C360" s="198">
        <f ca="1">RAND()*(51-5)+5+147</f>
        <v>169.22473364334525</v>
      </c>
      <c r="D360" s="199">
        <f ca="1">RAND()*(20-2)+2*RAND()*(4-1)+1+60</f>
        <v>77.24199726590841</v>
      </c>
      <c r="E360" s="145"/>
      <c r="F360" s="1"/>
      <c r="G360" s="1"/>
      <c r="H360" s="1"/>
      <c r="L360" s="1"/>
      <c r="O360" s="187"/>
    </row>
    <row r="361" spans="1:15" ht="13.5" customHeight="1">
      <c r="A361" s="197" t="s">
        <v>206</v>
      </c>
      <c r="B361" s="3" t="s">
        <v>494</v>
      </c>
      <c r="C361" s="198">
        <f ca="1">RAND()*(20-5)+5+80</f>
        <v>91.99936700577575</v>
      </c>
      <c r="D361" s="199">
        <f ca="1">RAND()*(8-2)+2+15</f>
        <v>20.663228924330674</v>
      </c>
      <c r="E361" s="145"/>
      <c r="F361" s="1"/>
      <c r="G361" s="1"/>
      <c r="H361" s="1"/>
      <c r="L361" s="1"/>
      <c r="O361" s="187"/>
    </row>
    <row r="362" spans="1:15" ht="18.75">
      <c r="A362" s="197" t="s">
        <v>204</v>
      </c>
      <c r="B362" s="3" t="s">
        <v>494</v>
      </c>
      <c r="C362" s="198"/>
      <c r="D362" s="199"/>
      <c r="E362" s="145"/>
      <c r="F362" s="1"/>
      <c r="G362" s="1"/>
      <c r="H362" s="1"/>
      <c r="L362" s="1"/>
      <c r="O362" s="187"/>
    </row>
    <row r="363" spans="1:15" ht="18.75">
      <c r="A363" s="197" t="s">
        <v>212</v>
      </c>
      <c r="B363" s="3" t="s">
        <v>494</v>
      </c>
      <c r="C363" s="198">
        <f ca="1">RAND()*(51-5)+5+147</f>
        <v>196.31820553396287</v>
      </c>
      <c r="D363" s="199">
        <f ca="1">RAND()*(20-2)+2*RAND()*(4-1)+1+60</f>
        <v>79.39710431967944</v>
      </c>
      <c r="E363" s="145"/>
      <c r="F363" s="1"/>
      <c r="G363" s="1"/>
      <c r="H363" s="1"/>
      <c r="L363" s="1"/>
      <c r="O363" s="187"/>
    </row>
    <row r="364" spans="1:15" ht="18.75">
      <c r="A364" s="197" t="s">
        <v>467</v>
      </c>
      <c r="B364" s="3" t="s">
        <v>494</v>
      </c>
      <c r="C364" s="198">
        <f ca="1">RAND()*(31-5)+5+147</f>
        <v>169.66422447477083</v>
      </c>
      <c r="D364" s="199">
        <f ca="1">RAND()*(12-2)+2*RAND()*(3-1)+1+43</f>
        <v>51.94557262790208</v>
      </c>
      <c r="E364" s="145"/>
      <c r="F364" s="1"/>
      <c r="G364" s="1"/>
      <c r="H364" s="1"/>
      <c r="L364" s="1"/>
      <c r="O364" s="187"/>
    </row>
    <row r="365" spans="1:15" ht="12.75">
      <c r="A365" s="197" t="s">
        <v>208</v>
      </c>
      <c r="B365" s="3" t="s">
        <v>494</v>
      </c>
      <c r="C365" s="198">
        <f ca="1">RAND()*(20-5)+5+90</f>
        <v>100.44429468507728</v>
      </c>
      <c r="D365" s="199">
        <f ca="1">RAND()*(8-2)+2+20</f>
        <v>25.346401716185383</v>
      </c>
      <c r="E365" s="145"/>
      <c r="F365" s="1"/>
      <c r="G365" s="1"/>
      <c r="H365" s="1"/>
      <c r="L365" s="1"/>
      <c r="O365" s="1"/>
    </row>
    <row r="366" spans="1:15" ht="12.75">
      <c r="A366" s="197" t="s">
        <v>468</v>
      </c>
      <c r="B366" s="3" t="s">
        <v>494</v>
      </c>
      <c r="C366" s="198">
        <f ca="1">RAND()*(20-5)+5+91</f>
        <v>109.84072936812309</v>
      </c>
      <c r="D366" s="199">
        <f ca="1">RAND()*(8-2)+2+20</f>
        <v>27.44253901595918</v>
      </c>
      <c r="E366" s="145"/>
      <c r="F366" s="1"/>
      <c r="G366" s="1"/>
      <c r="H366" s="1"/>
      <c r="L366" s="1"/>
      <c r="O366" s="1"/>
    </row>
    <row r="367" spans="1:15" ht="12.75">
      <c r="A367" s="197" t="s">
        <v>469</v>
      </c>
      <c r="B367" s="3" t="s">
        <v>494</v>
      </c>
      <c r="C367" s="198">
        <f ca="1">RAND()*(41-5)+5+139</f>
        <v>177.8147724885361</v>
      </c>
      <c r="D367" s="199">
        <f ca="1">RAND()*(16-2)+2*RAND()*(4-1)+1+50</f>
        <v>56.53807339053863</v>
      </c>
      <c r="E367" s="145"/>
      <c r="F367" s="1"/>
      <c r="G367" s="1"/>
      <c r="H367" s="1"/>
      <c r="L367" s="1"/>
      <c r="O367" s="1"/>
    </row>
    <row r="368" spans="1:15" ht="12.75">
      <c r="A368" s="197" t="s">
        <v>470</v>
      </c>
      <c r="B368" s="3" t="s">
        <v>494</v>
      </c>
      <c r="C368" s="198">
        <f ca="1">RAND()*(20-5)+5+82</f>
        <v>101.29959876655201</v>
      </c>
      <c r="D368" s="199">
        <f ca="1">RAND()*(8-2)+2+15</f>
        <v>17.741291850701792</v>
      </c>
      <c r="E368" s="145"/>
      <c r="F368" s="1"/>
      <c r="G368" s="1"/>
      <c r="H368" s="1"/>
      <c r="L368" s="1"/>
      <c r="O368" s="1"/>
    </row>
    <row r="369" spans="1:15" ht="12.75">
      <c r="A369" s="197" t="s">
        <v>209</v>
      </c>
      <c r="B369" s="3" t="s">
        <v>494</v>
      </c>
      <c r="C369" s="198">
        <f ca="1">RAND()*(51-5)+5+147</f>
        <v>163.65633187351978</v>
      </c>
      <c r="D369" s="199">
        <f ca="1">RAND()*(20-2)+2*RAND()*(4-1)+1+60</f>
        <v>68.96445583116365</v>
      </c>
      <c r="E369" s="145"/>
      <c r="F369" s="1"/>
      <c r="G369" s="1"/>
      <c r="H369" s="1"/>
      <c r="L369" s="1"/>
      <c r="O369" s="1"/>
    </row>
    <row r="370" spans="1:15" ht="12.75">
      <c r="A370" s="197" t="s">
        <v>200</v>
      </c>
      <c r="B370" s="3" t="s">
        <v>494</v>
      </c>
      <c r="C370" s="198">
        <f ca="1">RAND()*(30-5)+5+160</f>
        <v>178.28742579559872</v>
      </c>
      <c r="D370" s="199">
        <f ca="1">RAND()*(12-2)+2*RAND()*(3-1)+1+67.5</f>
        <v>72.51551698211266</v>
      </c>
      <c r="E370" s="145"/>
      <c r="F370" s="1"/>
      <c r="G370" s="1"/>
      <c r="H370" s="1"/>
      <c r="L370" s="1"/>
      <c r="O370" s="1"/>
    </row>
    <row r="371" spans="1:15" ht="12.75">
      <c r="A371" s="197" t="s">
        <v>210</v>
      </c>
      <c r="B371" s="3" t="s">
        <v>494</v>
      </c>
      <c r="C371" s="198">
        <f ca="1">RAND()*(30-5)+5+150</f>
        <v>175.43267746206112</v>
      </c>
      <c r="D371" s="199">
        <f ca="1">RAND()*(12-2)+2*RAND()*(4-1)+1+50</f>
        <v>51.66773655315808</v>
      </c>
      <c r="E371" s="145"/>
      <c r="F371" s="1"/>
      <c r="G371" s="1"/>
      <c r="H371" s="1"/>
      <c r="L371" s="1"/>
      <c r="O371" s="1"/>
    </row>
    <row r="372" spans="1:15" ht="12.75">
      <c r="A372" s="197" t="s">
        <v>201</v>
      </c>
      <c r="B372" s="3" t="s">
        <v>494</v>
      </c>
      <c r="C372" s="198">
        <f ca="1">RAND()*(30-5)+5+175</f>
        <v>196.72599298585027</v>
      </c>
      <c r="D372" s="199">
        <f ca="1">RAND()*(12-2)+2*4+135</f>
        <v>146.11942686031398</v>
      </c>
      <c r="E372" s="145"/>
      <c r="F372" s="1"/>
      <c r="G372" s="1"/>
      <c r="H372" s="1"/>
      <c r="L372" s="1"/>
      <c r="O372" s="1"/>
    </row>
    <row r="373" spans="1:15" ht="12.75">
      <c r="A373" s="197" t="s">
        <v>214</v>
      </c>
      <c r="B373" s="3" t="s">
        <v>494</v>
      </c>
      <c r="C373" s="198">
        <f ca="1">RAND()*(51-5)+5+147</f>
        <v>167.86009241475296</v>
      </c>
      <c r="D373" s="199">
        <f ca="1">RAND()*(20-2)+2*RAND()*(4-1)+1+60</f>
        <v>67.30547544289477</v>
      </c>
      <c r="E373" s="145"/>
      <c r="F373" s="1"/>
      <c r="G373" s="1"/>
      <c r="H373" s="1"/>
      <c r="L373" s="1"/>
      <c r="O373" s="1"/>
    </row>
    <row r="374" spans="1:15" ht="12.75">
      <c r="A374" s="197" t="s">
        <v>465</v>
      </c>
      <c r="B374" s="3" t="s">
        <v>494</v>
      </c>
      <c r="C374" s="198">
        <f ca="1">RAND()*(51-5)+5+147</f>
        <v>182.19297742731212</v>
      </c>
      <c r="D374" s="199">
        <f ca="1">RAND()*(20-2)+2*RAND()*(4-1)+1+60</f>
        <v>65.74106410119398</v>
      </c>
      <c r="E374" s="145"/>
      <c r="F374" s="1"/>
      <c r="G374" s="1"/>
      <c r="H374" s="1"/>
      <c r="L374" s="1"/>
      <c r="O374" s="1"/>
    </row>
    <row r="375" spans="1:15" ht="12.75">
      <c r="A375" s="197" t="s">
        <v>473</v>
      </c>
      <c r="B375" s="3" t="s">
        <v>494</v>
      </c>
      <c r="C375" s="198">
        <f ca="1">RAND()*(51-5)+5+147</f>
        <v>182.6297017753457</v>
      </c>
      <c r="D375" s="199">
        <f ca="1">RAND()*(20-2)+2*RAND()*(4-1)+1+60</f>
        <v>75.75150992078078</v>
      </c>
      <c r="E375" s="145"/>
      <c r="F375" s="1"/>
      <c r="G375" s="1"/>
      <c r="H375" s="1"/>
      <c r="L375" s="1"/>
      <c r="O375" s="1"/>
    </row>
    <row r="376" spans="1:15" ht="12.75">
      <c r="A376" s="197" t="s">
        <v>474</v>
      </c>
      <c r="B376" s="3" t="s">
        <v>494</v>
      </c>
      <c r="C376" s="198">
        <f ca="1">RAND()*(51-5)+5+147</f>
        <v>187.5225286591918</v>
      </c>
      <c r="D376" s="199">
        <f ca="1">RAND()*(20-2)+2*RAND()*(4-1)+1+60</f>
        <v>67.30600982613178</v>
      </c>
      <c r="E376" s="145"/>
      <c r="F376" s="1"/>
      <c r="G376" s="1"/>
      <c r="H376" s="1"/>
      <c r="L376" s="1"/>
      <c r="O376" s="1"/>
    </row>
    <row r="377" spans="1:15" ht="12.75">
      <c r="A377" s="197" t="s">
        <v>205</v>
      </c>
      <c r="B377" s="3" t="s">
        <v>494</v>
      </c>
      <c r="C377" s="198">
        <f ca="1">RAND()*(30-5)+5+148</f>
        <v>156.07757294386985</v>
      </c>
      <c r="D377" s="199">
        <f ca="1">RAND()*(12-2)+2*RAND()*(4-1)+1+45</f>
        <v>52.498380726785605</v>
      </c>
      <c r="E377" s="145"/>
      <c r="F377" s="1"/>
      <c r="G377" s="1"/>
      <c r="H377" s="1"/>
      <c r="L377" s="1"/>
      <c r="O377" s="1"/>
    </row>
    <row r="378" spans="1:15" ht="12.75">
      <c r="A378" s="137" t="s">
        <v>388</v>
      </c>
      <c r="B378" s="139" t="s">
        <v>494</v>
      </c>
      <c r="C378" s="198">
        <f ca="1">RAND()*(21-5)+5+116</f>
        <v>128.59054090359308</v>
      </c>
      <c r="D378" s="199">
        <f ca="1">RAND()*(8-2)+2*RAND()*(6-1)+1+65</f>
        <v>76.12107131413664</v>
      </c>
      <c r="E378" s="145"/>
      <c r="F378" s="1"/>
      <c r="G378" s="1"/>
      <c r="H378" s="1"/>
      <c r="L378" s="1"/>
      <c r="O378" s="1"/>
    </row>
    <row r="379" spans="1:15" ht="12.75">
      <c r="A379" s="197" t="s">
        <v>202</v>
      </c>
      <c r="B379" s="3" t="s">
        <v>494</v>
      </c>
      <c r="C379" s="198">
        <f ca="1">RAND()*(41-5)+5+138</f>
        <v>150.253214589755</v>
      </c>
      <c r="D379" s="199">
        <f ca="1">RAND()*(16-2)+2*RAND()*(4-1)+1+50</f>
        <v>63.44323514327436</v>
      </c>
      <c r="E379" s="145"/>
      <c r="F379" s="1"/>
      <c r="G379" s="1"/>
      <c r="H379" s="1"/>
      <c r="L379" s="1"/>
      <c r="O379" s="1"/>
    </row>
    <row r="380" spans="1:15" ht="12.75">
      <c r="A380" s="197" t="s">
        <v>203</v>
      </c>
      <c r="B380" s="3" t="s">
        <v>494</v>
      </c>
      <c r="C380" s="198">
        <f ca="1">RAND()*(20-5)+5+152</f>
        <v>162.53585021754495</v>
      </c>
      <c r="D380" s="199">
        <f ca="1">RAND()*(8-2)+2*RAND()*(4-1)+1+67.5</f>
        <v>73.14147550222131</v>
      </c>
      <c r="E380" s="145"/>
      <c r="F380" s="1"/>
      <c r="G380" s="1"/>
      <c r="H380" s="1"/>
      <c r="L380" s="1"/>
      <c r="O380" s="1"/>
    </row>
    <row r="381" spans="1:15" ht="12.75">
      <c r="A381" s="197" t="s">
        <v>213</v>
      </c>
      <c r="B381" s="3" t="s">
        <v>494</v>
      </c>
      <c r="C381" s="198">
        <f ca="1">RAND()*(51-5)+5+147</f>
        <v>177.8707683449455</v>
      </c>
      <c r="D381" s="199">
        <f ca="1">RAND()*(20-2)+2*RAND()*(4-1)+1+60</f>
        <v>73.53114475256133</v>
      </c>
      <c r="E381" s="145"/>
      <c r="F381" s="1"/>
      <c r="G381" s="1"/>
      <c r="H381" s="1"/>
      <c r="L381" s="1"/>
      <c r="O381" s="1"/>
    </row>
    <row r="382" spans="1:15" ht="12.75">
      <c r="A382" s="197" t="s">
        <v>466</v>
      </c>
      <c r="B382" s="3" t="s">
        <v>494</v>
      </c>
      <c r="C382" s="198">
        <f ca="1">RAND()*(21-5)+5+116</f>
        <v>135.38694636853484</v>
      </c>
      <c r="D382" s="199">
        <f ca="1">RAND()*(8-2)+2*RAND()*(6-1)+1+65</f>
        <v>67.64014776411969</v>
      </c>
      <c r="E382" s="193"/>
      <c r="F382" s="1"/>
      <c r="G382" s="1"/>
      <c r="H382" s="1"/>
      <c r="L382" s="1"/>
      <c r="O382" s="1"/>
    </row>
    <row r="383" spans="1:15" ht="12.75">
      <c r="A383" s="197" t="s">
        <v>215</v>
      </c>
      <c r="B383" s="3" t="s">
        <v>472</v>
      </c>
      <c r="C383" s="198">
        <f ca="1">RAND()*(51-5)+5+135</f>
        <v>176.08902970607943</v>
      </c>
      <c r="D383" s="199">
        <f ca="1">RAND()*(20-2)+2*RAND()*(4-1)+1+42.5</f>
        <v>56.364377306123075</v>
      </c>
      <c r="E383" s="1"/>
      <c r="F383" s="1"/>
      <c r="G383" s="1"/>
      <c r="H383" s="1"/>
      <c r="L383" s="1"/>
      <c r="O383" s="1"/>
    </row>
    <row r="384" spans="1:15" ht="12.75">
      <c r="A384" s="197" t="s">
        <v>206</v>
      </c>
      <c r="B384" s="3" t="s">
        <v>472</v>
      </c>
      <c r="C384" s="198">
        <f ca="1">RAND()*(20-5)+5+75</f>
        <v>83.46357040147197</v>
      </c>
      <c r="D384" s="199">
        <f ca="1">RAND()*(8-2)+2+12.5</f>
        <v>15.906338366626981</v>
      </c>
      <c r="E384" s="1"/>
      <c r="F384" s="1"/>
      <c r="G384" s="1"/>
      <c r="H384" s="1"/>
      <c r="L384" s="1"/>
      <c r="O384" s="1"/>
    </row>
    <row r="385" spans="1:15" ht="12.75">
      <c r="A385" s="197" t="s">
        <v>204</v>
      </c>
      <c r="B385" s="3" t="s">
        <v>472</v>
      </c>
      <c r="C385" s="198"/>
      <c r="D385" s="199"/>
      <c r="E385" s="1"/>
      <c r="F385" s="1"/>
      <c r="G385" s="1"/>
      <c r="H385" s="1"/>
      <c r="L385" s="1"/>
      <c r="O385" s="1"/>
    </row>
    <row r="386" spans="1:15" ht="12.75">
      <c r="A386" s="197" t="s">
        <v>212</v>
      </c>
      <c r="B386" s="3" t="s">
        <v>472</v>
      </c>
      <c r="C386" s="198">
        <f ca="1">RAND()*(51-5)+5+135</f>
        <v>180.9562391324321</v>
      </c>
      <c r="D386" s="199">
        <f ca="1">RAND()*(20-2)+2*RAND()*(4-1)+1+42.5</f>
        <v>54.40510319644743</v>
      </c>
      <c r="E386" s="1"/>
      <c r="F386" s="1"/>
      <c r="G386" s="1"/>
      <c r="H386" s="1"/>
      <c r="L386" s="1"/>
      <c r="O386" s="1"/>
    </row>
    <row r="387" spans="1:15" ht="12.75">
      <c r="A387" s="197" t="s">
        <v>467</v>
      </c>
      <c r="B387" s="3" t="s">
        <v>472</v>
      </c>
      <c r="C387" s="198">
        <f ca="1">RAND()*(31-5)+5+134</f>
        <v>146.53178134971066</v>
      </c>
      <c r="D387" s="199">
        <f ca="1">RAND()*(12-2)+2*RAND()*(3-1)+1+40</f>
        <v>45.540471903192866</v>
      </c>
      <c r="E387" s="1"/>
      <c r="F387" s="1"/>
      <c r="G387" s="1"/>
      <c r="H387" s="1"/>
      <c r="L387" s="1"/>
      <c r="O387" s="1"/>
    </row>
    <row r="388" spans="1:15" ht="12.75">
      <c r="A388" s="197" t="s">
        <v>208</v>
      </c>
      <c r="B388" s="3" t="s">
        <v>472</v>
      </c>
      <c r="C388" s="198">
        <f ca="1">RAND()*(20-5)+5+85</f>
        <v>104.44231410014687</v>
      </c>
      <c r="D388" s="199">
        <f ca="1">RAND()*(8-2)+2+17.5</f>
        <v>20.13565076515375</v>
      </c>
      <c r="E388" s="1"/>
      <c r="F388" s="1"/>
      <c r="G388" s="1"/>
      <c r="H388" s="1"/>
      <c r="L388" s="1"/>
      <c r="O388" s="1"/>
    </row>
    <row r="389" spans="1:15" ht="12.75">
      <c r="A389" s="197" t="s">
        <v>468</v>
      </c>
      <c r="B389" s="3" t="s">
        <v>472</v>
      </c>
      <c r="C389" s="198">
        <f ca="1">RAND()*(20-5)+5+83</f>
        <v>93.31407986952877</v>
      </c>
      <c r="D389" s="199">
        <f ca="1">RAND()*(8-2)+2+17.5</f>
        <v>22.503563841386107</v>
      </c>
      <c r="E389" s="1"/>
      <c r="F389" s="1"/>
      <c r="G389" s="1"/>
      <c r="H389" s="1"/>
      <c r="L389" s="1"/>
      <c r="O389" s="1"/>
    </row>
    <row r="390" spans="1:15" ht="12.75">
      <c r="A390" s="197" t="s">
        <v>469</v>
      </c>
      <c r="B390" s="3" t="s">
        <v>472</v>
      </c>
      <c r="C390" s="198">
        <f ca="1">RAND()*(41-5)+5+134</f>
        <v>154.44984566863252</v>
      </c>
      <c r="D390" s="199">
        <f ca="1">RAND()*(16-2)+2*RAND()*(4-1)+1+40</f>
        <v>57.711933575081666</v>
      </c>
      <c r="E390" s="1"/>
      <c r="F390" s="1"/>
      <c r="G390" s="1"/>
      <c r="H390" s="1"/>
      <c r="I390" s="1"/>
      <c r="L390" s="1"/>
      <c r="O390" s="1"/>
    </row>
    <row r="391" spans="1:15" ht="12.75">
      <c r="A391" s="197" t="s">
        <v>470</v>
      </c>
      <c r="B391" s="3" t="s">
        <v>472</v>
      </c>
      <c r="C391" s="198">
        <f ca="1">RAND()*(20-5)+5+76.5</f>
        <v>86.00525346373958</v>
      </c>
      <c r="D391" s="199">
        <f ca="1">RAND()*(8-2)+2+12.5</f>
        <v>19.181945072190754</v>
      </c>
      <c r="E391" s="1"/>
      <c r="F391" s="1"/>
      <c r="G391" s="1"/>
      <c r="H391" s="1"/>
      <c r="I391" s="1"/>
      <c r="L391" s="1"/>
      <c r="O391" s="1"/>
    </row>
    <row r="392" spans="1:15" ht="12.75">
      <c r="A392" s="197" t="s">
        <v>209</v>
      </c>
      <c r="B392" s="3" t="s">
        <v>472</v>
      </c>
      <c r="C392" s="198">
        <f ca="1">RAND()*(51-5)+5+135</f>
        <v>156.15887362615135</v>
      </c>
      <c r="D392" s="199">
        <f ca="1">RAND()*(20-2)+2*RAND()*(4-1)+1+42.5</f>
        <v>50.15899724114665</v>
      </c>
      <c r="E392" s="1"/>
      <c r="F392" s="1"/>
      <c r="G392" s="1"/>
      <c r="H392" s="1"/>
      <c r="I392" s="1"/>
      <c r="L392" s="1"/>
      <c r="M392" s="1"/>
      <c r="N392" s="1"/>
      <c r="O392" s="1"/>
    </row>
    <row r="393" spans="1:15" ht="12.75">
      <c r="A393" s="197" t="s">
        <v>200</v>
      </c>
      <c r="B393" s="3" t="s">
        <v>472</v>
      </c>
      <c r="C393" s="198">
        <f ca="1">RAND()*(30-5)+5+155</f>
        <v>163.07460462736736</v>
      </c>
      <c r="D393" s="199">
        <f ca="1">RAND()*(12-2)+2*RAND()*(3-1)+1+52.5</f>
        <v>64.58077140907733</v>
      </c>
      <c r="E393" s="1"/>
      <c r="F393" s="1"/>
      <c r="G393" s="1"/>
      <c r="H393" s="1"/>
      <c r="I393" s="1"/>
      <c r="L393" s="1"/>
      <c r="M393" s="1"/>
      <c r="N393" s="1"/>
      <c r="O393" s="1"/>
    </row>
    <row r="394" spans="1:15" ht="12.75">
      <c r="A394" s="197" t="s">
        <v>210</v>
      </c>
      <c r="B394" s="3" t="s">
        <v>472</v>
      </c>
      <c r="C394" s="198">
        <f ca="1">RAND()*(30-5)+5+150</f>
        <v>162.54970565540856</v>
      </c>
      <c r="D394" s="199">
        <f ca="1">RAND()*(12-2)+2*RAND()*(4-1)+1+45</f>
        <v>51.62022828978225</v>
      </c>
      <c r="E394" s="1"/>
      <c r="F394" s="1"/>
      <c r="G394" s="1"/>
      <c r="H394" s="1"/>
      <c r="I394" s="1"/>
      <c r="L394" s="1"/>
      <c r="M394" s="1"/>
      <c r="N394" s="1"/>
      <c r="O394" s="1"/>
    </row>
    <row r="395" spans="1:15" ht="12.75">
      <c r="A395" s="197" t="s">
        <v>201</v>
      </c>
      <c r="B395" s="3" t="s">
        <v>472</v>
      </c>
      <c r="C395" s="198">
        <f ca="1">RAND()*(30-5)+5+175</f>
        <v>200.37726112435743</v>
      </c>
      <c r="D395" s="199">
        <f ca="1">RAND()*(12-2)+2*4+135</f>
        <v>152.35617164339172</v>
      </c>
      <c r="E395" s="1"/>
      <c r="F395" s="1"/>
      <c r="G395" s="1"/>
      <c r="H395" s="1"/>
      <c r="I395" s="1"/>
      <c r="L395" s="1"/>
      <c r="M395" s="1"/>
      <c r="N395" s="1"/>
      <c r="O395" s="1"/>
    </row>
    <row r="396" spans="1:15" ht="12.75">
      <c r="A396" s="197" t="s">
        <v>214</v>
      </c>
      <c r="B396" s="3" t="s">
        <v>472</v>
      </c>
      <c r="C396" s="198">
        <f ca="1">RAND()*(51-5)+5+135</f>
        <v>157.1017658650294</v>
      </c>
      <c r="D396" s="199">
        <f ca="1">RAND()*(20-2)+2*RAND()*(4-1)+1+42.5</f>
        <v>50.1380704830397</v>
      </c>
      <c r="E396" s="1"/>
      <c r="F396" s="1"/>
      <c r="G396" s="1"/>
      <c r="H396" s="1"/>
      <c r="I396" s="1"/>
      <c r="L396" s="1"/>
      <c r="M396" s="1"/>
      <c r="N396" s="1"/>
      <c r="O396" s="1"/>
    </row>
    <row r="397" spans="1:15" ht="12.75">
      <c r="A397" s="197" t="s">
        <v>465</v>
      </c>
      <c r="B397" s="3" t="s">
        <v>472</v>
      </c>
      <c r="C397" s="198">
        <f ca="1">RAND()*(51-5)+5+135</f>
        <v>172.785626041177</v>
      </c>
      <c r="D397" s="199">
        <f ca="1">RAND()*(20-2)+2*RAND()*(4-1)+1+42.5</f>
        <v>56.583758011404754</v>
      </c>
      <c r="E397" s="1"/>
      <c r="F397" s="1"/>
      <c r="G397" s="1"/>
      <c r="H397" s="1"/>
      <c r="I397" s="1"/>
      <c r="L397" s="1"/>
      <c r="M397" s="1"/>
      <c r="N397" s="1"/>
      <c r="O397" s="1"/>
    </row>
    <row r="398" spans="1:15" ht="12.75">
      <c r="A398" s="197" t="s">
        <v>473</v>
      </c>
      <c r="B398" s="3" t="s">
        <v>472</v>
      </c>
      <c r="C398" s="198">
        <f ca="1">RAND()*(51-5)+5+135</f>
        <v>160.02099339707394</v>
      </c>
      <c r="D398" s="199">
        <f ca="1">RAND()*(20-2)+2*RAND()*(4-1)+1+42.5</f>
        <v>50.02862423050867</v>
      </c>
      <c r="E398" s="1"/>
      <c r="F398" s="1"/>
      <c r="G398" s="1"/>
      <c r="H398" s="1"/>
      <c r="I398" s="1"/>
      <c r="L398" s="1"/>
      <c r="M398" s="1"/>
      <c r="N398" s="1"/>
      <c r="O398" s="1"/>
    </row>
    <row r="399" spans="1:15" ht="12.75">
      <c r="A399" s="197" t="s">
        <v>474</v>
      </c>
      <c r="B399" s="3" t="s">
        <v>472</v>
      </c>
      <c r="C399" s="198">
        <f ca="1">RAND()*(51-5)+5+135</f>
        <v>163.92030183987882</v>
      </c>
      <c r="D399" s="199">
        <f ca="1">RAND()*(20-2)+2*RAND()*(4-1)+1+42.5</f>
        <v>46.521860665922006</v>
      </c>
      <c r="E399" s="1"/>
      <c r="F399" s="1"/>
      <c r="G399" s="1"/>
      <c r="H399" s="1"/>
      <c r="I399" s="1"/>
      <c r="L399" s="1"/>
      <c r="M399" s="1"/>
      <c r="N399" s="1"/>
      <c r="O399" s="1"/>
    </row>
    <row r="400" spans="1:15" ht="12.75">
      <c r="A400" s="197" t="s">
        <v>205</v>
      </c>
      <c r="B400" s="3" t="s">
        <v>472</v>
      </c>
      <c r="C400" s="198">
        <f ca="1">RAND()*(40-5)+5+155</f>
        <v>171.3309002733012</v>
      </c>
      <c r="D400" s="199">
        <f ca="1">RAND()*(16-2)+2*RAND()*(4-1)+1+50</f>
        <v>59.43392023098779</v>
      </c>
      <c r="E400" s="1"/>
      <c r="F400" s="1"/>
      <c r="G400" s="1"/>
      <c r="H400" s="1"/>
      <c r="I400" s="1"/>
      <c r="L400" s="1"/>
      <c r="M400" s="1"/>
      <c r="N400" s="1"/>
      <c r="O400" s="1"/>
    </row>
    <row r="401" spans="1:15" ht="12.75">
      <c r="A401" s="137" t="s">
        <v>388</v>
      </c>
      <c r="B401" s="139" t="s">
        <v>472</v>
      </c>
      <c r="C401" s="198">
        <f ca="1">RAND()*(20-5)+5+104</f>
        <v>112.27519953044973</v>
      </c>
      <c r="D401" s="199">
        <f ca="1">RAND()*(8-2)+2*RAND()*(6-1)+1+50</f>
        <v>59.62188804869359</v>
      </c>
      <c r="E401" s="1"/>
      <c r="F401" s="1"/>
      <c r="G401" s="1"/>
      <c r="H401" s="1"/>
      <c r="I401" s="1"/>
      <c r="L401" s="1"/>
      <c r="M401" s="1"/>
      <c r="N401" s="1"/>
      <c r="O401" s="1"/>
    </row>
    <row r="402" spans="1:15" ht="12.75">
      <c r="A402" s="197" t="s">
        <v>202</v>
      </c>
      <c r="B402" s="3" t="s">
        <v>472</v>
      </c>
      <c r="C402" s="198">
        <f ca="1">RAND()*(41-5)+5+132</f>
        <v>161.00171798368177</v>
      </c>
      <c r="D402" s="199">
        <f ca="1">RAND()*(16-2)+2*RAND()*(4-1)+1+42.5</f>
        <v>51.17292149457893</v>
      </c>
      <c r="E402" s="1"/>
      <c r="F402" s="1"/>
      <c r="G402" s="1"/>
      <c r="H402" s="1"/>
      <c r="I402" s="1"/>
      <c r="L402" s="1"/>
      <c r="M402" s="1"/>
      <c r="N402" s="188"/>
      <c r="O402" s="188"/>
    </row>
    <row r="403" spans="1:4" ht="12.75">
      <c r="A403" s="197" t="s">
        <v>203</v>
      </c>
      <c r="B403" s="139" t="s">
        <v>472</v>
      </c>
      <c r="C403" s="198">
        <f ca="1">RAND()*(20-5)+5+152</f>
        <v>160.80253780615087</v>
      </c>
      <c r="D403" s="199">
        <f ca="1">RAND()*(8-2)+2*RAND()*(4-1)+1+67.5</f>
        <v>73.86469480235641</v>
      </c>
    </row>
    <row r="404" spans="1:4" ht="12.75">
      <c r="A404" s="197" t="s">
        <v>213</v>
      </c>
      <c r="B404" s="3" t="s">
        <v>472</v>
      </c>
      <c r="C404" s="198">
        <f ca="1">RAND()*(51-5)+5+135</f>
        <v>141.83793946038008</v>
      </c>
      <c r="D404" s="199">
        <f ca="1">RAND()*(20-2)+2*RAND()*(4-1)+1+42.5</f>
        <v>62.66469099210393</v>
      </c>
    </row>
    <row r="405" spans="1:4" ht="12.75">
      <c r="A405" s="57" t="s">
        <v>466</v>
      </c>
      <c r="B405" s="58" t="s">
        <v>472</v>
      </c>
      <c r="C405" s="200">
        <f ca="1">RAND()*(20-5)+5+104</f>
        <v>122.34193134576459</v>
      </c>
      <c r="D405" s="201">
        <f ca="1">RAND()*(8-2)+2*RAND()*(6-1)+1+50</f>
        <v>63.30585065355576</v>
      </c>
    </row>
    <row r="407" spans="1:7" ht="11.25">
      <c r="A407" s="132" t="s">
        <v>307</v>
      </c>
      <c r="B407" s="154"/>
      <c r="C407" s="154"/>
      <c r="D407" s="154"/>
      <c r="E407" s="154"/>
      <c r="F407" s="133"/>
      <c r="G407" s="140"/>
    </row>
    <row r="408" spans="1:7" ht="11.25">
      <c r="A408" s="203">
        <f aca="true" ca="1" t="shared" si="3" ref="A408:F408">RAND()*(6-1)+1</f>
        <v>4.659889078166478</v>
      </c>
      <c r="B408" s="204">
        <f ca="1" t="shared" si="3"/>
        <v>5.440453002656804</v>
      </c>
      <c r="C408" s="204">
        <f ca="1" t="shared" si="3"/>
        <v>2.1651023979450326</v>
      </c>
      <c r="D408" s="204">
        <f ca="1" t="shared" si="3"/>
        <v>4.754825223380643</v>
      </c>
      <c r="E408" s="204">
        <f ca="1" t="shared" si="3"/>
        <v>5.745098304360662</v>
      </c>
      <c r="F408" s="205">
        <f ca="1" t="shared" si="3"/>
        <v>4.31400977697879</v>
      </c>
      <c r="G408" s="204"/>
    </row>
    <row r="409" spans="1:7" ht="11.25">
      <c r="A409" s="203">
        <f aca="true" ca="1" t="shared" si="4" ref="A409:F411">RAND()*(6-1)+1</f>
        <v>5.596340256829957</v>
      </c>
      <c r="B409" s="204">
        <f ca="1" t="shared" si="4"/>
        <v>3.3222832449067967</v>
      </c>
      <c r="C409" s="204">
        <f ca="1" t="shared" si="4"/>
        <v>4.075092345402131</v>
      </c>
      <c r="D409" s="204">
        <f ca="1" t="shared" si="4"/>
        <v>3.8250695653650215</v>
      </c>
      <c r="E409" s="204">
        <f ca="1" t="shared" si="4"/>
        <v>2.1003157746005323</v>
      </c>
      <c r="F409" s="205">
        <f ca="1" t="shared" si="4"/>
        <v>2.0039015874415114</v>
      </c>
      <c r="G409" s="204"/>
    </row>
    <row r="410" spans="1:7" ht="11.25">
      <c r="A410" s="203">
        <f ca="1" t="shared" si="4"/>
        <v>2.864211725798788</v>
      </c>
      <c r="B410" s="204">
        <f ca="1" t="shared" si="4"/>
        <v>2.525953477482931</v>
      </c>
      <c r="C410" s="204">
        <f ca="1" t="shared" si="4"/>
        <v>1.5541382701100883</v>
      </c>
      <c r="D410" s="204">
        <f ca="1" t="shared" si="4"/>
        <v>1.5814882292895485</v>
      </c>
      <c r="E410" s="204">
        <f ca="1" t="shared" si="4"/>
        <v>2.409568722621648</v>
      </c>
      <c r="F410" s="205">
        <f ca="1" t="shared" si="4"/>
        <v>5.40007822810427</v>
      </c>
      <c r="G410" s="204"/>
    </row>
    <row r="411" spans="1:7" ht="12" thickBot="1">
      <c r="A411" s="206">
        <f ca="1" t="shared" si="4"/>
        <v>4.508282642921639</v>
      </c>
      <c r="B411" s="202">
        <f ca="1" t="shared" si="4"/>
        <v>5.3787405023401025</v>
      </c>
      <c r="C411" s="202">
        <f ca="1" t="shared" si="4"/>
        <v>5.238993619698634</v>
      </c>
      <c r="D411" s="202">
        <f ca="1" t="shared" si="4"/>
        <v>2.8502205533104465</v>
      </c>
      <c r="E411" s="202">
        <f ca="1" t="shared" si="4"/>
        <v>4.9291548021752165</v>
      </c>
      <c r="F411" s="207">
        <f ca="1" t="shared" si="4"/>
        <v>4.364029525346497</v>
      </c>
      <c r="G411" s="204"/>
    </row>
    <row r="412" spans="1:7" ht="11.25">
      <c r="A412" s="208">
        <f aca="true" t="shared" si="5" ref="A412:F412">SUM(A408:A411)-MIN(A408:A411)</f>
        <v>14.764511977918074</v>
      </c>
      <c r="B412" s="209">
        <f t="shared" si="5"/>
        <v>14.141476749903704</v>
      </c>
      <c r="C412" s="209">
        <f t="shared" si="5"/>
        <v>11.479188363045797</v>
      </c>
      <c r="D412" s="209">
        <f t="shared" si="5"/>
        <v>11.430115342056112</v>
      </c>
      <c r="E412" s="209">
        <f t="shared" si="5"/>
        <v>13.083821829157525</v>
      </c>
      <c r="F412" s="210">
        <f t="shared" si="5"/>
        <v>14.078117530429559</v>
      </c>
      <c r="G412" s="204"/>
    </row>
    <row r="414" ht="11.25">
      <c r="A414" s="213" t="s">
        <v>308</v>
      </c>
    </row>
    <row r="415" ht="11.25">
      <c r="A415" s="213" t="s">
        <v>225</v>
      </c>
    </row>
    <row r="416" spans="1:7" ht="11.25">
      <c r="A416" s="134">
        <v>1</v>
      </c>
      <c r="B416" s="134" t="b">
        <v>0</v>
      </c>
      <c r="C416" s="134" t="b">
        <v>0</v>
      </c>
      <c r="D416" s="134" t="b">
        <v>0</v>
      </c>
      <c r="E416" s="134" t="b">
        <v>0</v>
      </c>
      <c r="F416" s="134" t="b">
        <v>1</v>
      </c>
      <c r="G416" s="152" t="b">
        <v>0</v>
      </c>
    </row>
    <row r="417" spans="1:6" ht="11.25">
      <c r="A417" s="134">
        <v>2</v>
      </c>
      <c r="B417" s="134" t="b">
        <v>0</v>
      </c>
      <c r="C417" s="134" t="b">
        <v>0</v>
      </c>
      <c r="D417" s="134" t="b">
        <v>0</v>
      </c>
      <c r="E417" s="134" t="b">
        <v>0</v>
      </c>
      <c r="F417" s="134" t="b">
        <v>1</v>
      </c>
    </row>
    <row r="418" spans="1:6" ht="11.25">
      <c r="A418" s="134">
        <v>3</v>
      </c>
      <c r="B418" s="134" t="b">
        <v>0</v>
      </c>
      <c r="C418" s="134" t="b">
        <v>0</v>
      </c>
      <c r="D418" s="134" t="b">
        <v>0</v>
      </c>
      <c r="E418" s="134" t="b">
        <v>0</v>
      </c>
      <c r="F418" s="134" t="b">
        <v>1</v>
      </c>
    </row>
    <row r="419" spans="1:6" ht="11.25">
      <c r="A419" s="134">
        <v>4</v>
      </c>
      <c r="B419" s="134" t="b">
        <v>0</v>
      </c>
      <c r="C419" s="134" t="b">
        <v>0</v>
      </c>
      <c r="D419" s="134" t="b">
        <v>0</v>
      </c>
      <c r="E419" s="134" t="b">
        <v>0</v>
      </c>
      <c r="F419" s="134" t="b">
        <v>0</v>
      </c>
    </row>
    <row r="420" spans="1:6" ht="11.25">
      <c r="A420" s="134">
        <v>5</v>
      </c>
      <c r="B420" s="134" t="b">
        <v>0</v>
      </c>
      <c r="C420" s="134" t="b">
        <v>0</v>
      </c>
      <c r="D420" s="134" t="b">
        <v>0</v>
      </c>
      <c r="E420" s="134" t="b">
        <v>0</v>
      </c>
      <c r="F420" s="134" t="b">
        <v>0</v>
      </c>
    </row>
    <row r="447" ht="11.25">
      <c r="A447" s="213" t="s">
        <v>582</v>
      </c>
    </row>
    <row r="448" spans="1:2" ht="11.25">
      <c r="A448" s="165"/>
      <c r="B448" s="133">
        <v>0</v>
      </c>
    </row>
    <row r="449" spans="1:2" ht="11.25">
      <c r="A449" s="137">
        <v>1</v>
      </c>
      <c r="B449" s="138">
        <f>B448+A449*1000</f>
        <v>1000</v>
      </c>
    </row>
    <row r="450" spans="1:2" ht="11.25">
      <c r="A450" s="137">
        <v>2</v>
      </c>
      <c r="B450" s="138">
        <f aca="true" t="shared" si="6" ref="B450:B468">B449+A450*1000</f>
        <v>3000</v>
      </c>
    </row>
    <row r="451" spans="1:2" ht="11.25">
      <c r="A451" s="137">
        <v>3</v>
      </c>
      <c r="B451" s="138">
        <f t="shared" si="6"/>
        <v>6000</v>
      </c>
    </row>
    <row r="452" spans="1:2" ht="11.25">
      <c r="A452" s="137">
        <v>4</v>
      </c>
      <c r="B452" s="138">
        <f t="shared" si="6"/>
        <v>10000</v>
      </c>
    </row>
    <row r="453" spans="1:2" ht="11.25">
      <c r="A453" s="137">
        <v>5</v>
      </c>
      <c r="B453" s="138">
        <f t="shared" si="6"/>
        <v>15000</v>
      </c>
    </row>
    <row r="454" spans="1:2" ht="11.25">
      <c r="A454" s="137">
        <v>6</v>
      </c>
      <c r="B454" s="138">
        <f t="shared" si="6"/>
        <v>21000</v>
      </c>
    </row>
    <row r="455" spans="1:2" ht="11.25">
      <c r="A455" s="137">
        <v>7</v>
      </c>
      <c r="B455" s="138">
        <f t="shared" si="6"/>
        <v>28000</v>
      </c>
    </row>
    <row r="456" spans="1:2" ht="11.25">
      <c r="A456" s="137">
        <v>8</v>
      </c>
      <c r="B456" s="138">
        <f t="shared" si="6"/>
        <v>36000</v>
      </c>
    </row>
    <row r="457" spans="1:2" ht="11.25">
      <c r="A457" s="137">
        <v>9</v>
      </c>
      <c r="B457" s="138">
        <f t="shared" si="6"/>
        <v>45000</v>
      </c>
    </row>
    <row r="458" spans="1:2" ht="11.25">
      <c r="A458" s="137">
        <v>10</v>
      </c>
      <c r="B458" s="138">
        <f t="shared" si="6"/>
        <v>55000</v>
      </c>
    </row>
    <row r="459" spans="1:2" ht="11.25">
      <c r="A459" s="137">
        <v>11</v>
      </c>
      <c r="B459" s="138">
        <f t="shared" si="6"/>
        <v>66000</v>
      </c>
    </row>
    <row r="460" spans="1:2" ht="11.25">
      <c r="A460" s="137">
        <v>12</v>
      </c>
      <c r="B460" s="138">
        <f t="shared" si="6"/>
        <v>78000</v>
      </c>
    </row>
    <row r="461" spans="1:2" ht="11.25">
      <c r="A461" s="137">
        <v>13</v>
      </c>
      <c r="B461" s="138">
        <f t="shared" si="6"/>
        <v>91000</v>
      </c>
    </row>
    <row r="462" spans="1:2" ht="11.25">
      <c r="A462" s="137">
        <v>14</v>
      </c>
      <c r="B462" s="138">
        <f t="shared" si="6"/>
        <v>105000</v>
      </c>
    </row>
    <row r="463" spans="1:2" ht="11.25">
      <c r="A463" s="137">
        <v>15</v>
      </c>
      <c r="B463" s="138">
        <f t="shared" si="6"/>
        <v>120000</v>
      </c>
    </row>
    <row r="464" spans="1:2" ht="11.25">
      <c r="A464" s="137">
        <v>16</v>
      </c>
      <c r="B464" s="138">
        <f t="shared" si="6"/>
        <v>136000</v>
      </c>
    </row>
    <row r="465" spans="1:2" ht="11.25">
      <c r="A465" s="137">
        <v>17</v>
      </c>
      <c r="B465" s="138">
        <f t="shared" si="6"/>
        <v>153000</v>
      </c>
    </row>
    <row r="466" spans="1:2" ht="11.25">
      <c r="A466" s="137">
        <v>18</v>
      </c>
      <c r="B466" s="138">
        <f t="shared" si="6"/>
        <v>171000</v>
      </c>
    </row>
    <row r="467" spans="1:2" ht="11.25">
      <c r="A467" s="137">
        <v>19</v>
      </c>
      <c r="B467" s="138">
        <f t="shared" si="6"/>
        <v>190000</v>
      </c>
    </row>
    <row r="468" spans="1:2" ht="11.25">
      <c r="A468" s="142">
        <v>20</v>
      </c>
      <c r="B468" s="143">
        <f t="shared" si="6"/>
        <v>210000</v>
      </c>
    </row>
    <row r="471" spans="1:2" ht="11.25">
      <c r="A471" s="213" t="s">
        <v>52</v>
      </c>
      <c r="B471" s="134" t="s">
        <v>62</v>
      </c>
    </row>
    <row r="472" spans="1:3" ht="12.75">
      <c r="A472" s="165" t="s">
        <v>434</v>
      </c>
      <c r="B472" s="232" t="s">
        <v>88</v>
      </c>
      <c r="C472" s="133" t="b">
        <v>0</v>
      </c>
    </row>
    <row r="473" spans="1:3" ht="12.75">
      <c r="A473" s="137" t="s">
        <v>59</v>
      </c>
      <c r="B473" s="3" t="s">
        <v>523</v>
      </c>
      <c r="C473" s="138" t="b">
        <v>0</v>
      </c>
    </row>
    <row r="474" spans="1:3" ht="12.75">
      <c r="A474" s="137" t="s">
        <v>54</v>
      </c>
      <c r="B474" s="3" t="s">
        <v>84</v>
      </c>
      <c r="C474" s="138" t="b">
        <v>0</v>
      </c>
    </row>
    <row r="475" spans="1:3" ht="12.75">
      <c r="A475" s="137" t="s">
        <v>57</v>
      </c>
      <c r="B475" s="3" t="s">
        <v>90</v>
      </c>
      <c r="C475" s="138" t="b">
        <v>0</v>
      </c>
    </row>
    <row r="476" spans="1:3" ht="12.75">
      <c r="A476" s="137" t="s">
        <v>56</v>
      </c>
      <c r="B476" s="3" t="s">
        <v>524</v>
      </c>
      <c r="C476" s="138" t="b">
        <v>0</v>
      </c>
    </row>
    <row r="477" spans="1:3" ht="12.75">
      <c r="A477" s="137" t="s">
        <v>53</v>
      </c>
      <c r="B477" s="3" t="s">
        <v>525</v>
      </c>
      <c r="C477" s="138" t="b">
        <v>0</v>
      </c>
    </row>
    <row r="478" spans="1:3" ht="12.75">
      <c r="A478" s="137" t="s">
        <v>60</v>
      </c>
      <c r="B478" s="3" t="s">
        <v>85</v>
      </c>
      <c r="C478" s="138" t="b">
        <v>0</v>
      </c>
    </row>
    <row r="479" spans="1:3" ht="12.75">
      <c r="A479" s="137" t="s">
        <v>58</v>
      </c>
      <c r="B479" s="3" t="s">
        <v>86</v>
      </c>
      <c r="C479" s="138" t="b">
        <v>0</v>
      </c>
    </row>
    <row r="480" spans="1:3" ht="12.75">
      <c r="A480" s="137" t="s">
        <v>55</v>
      </c>
      <c r="B480" s="3" t="s">
        <v>87</v>
      </c>
      <c r="C480" s="138" t="b">
        <v>0</v>
      </c>
    </row>
    <row r="481" spans="1:3" ht="12.75">
      <c r="A481" s="137" t="s">
        <v>61</v>
      </c>
      <c r="B481" s="231" t="s">
        <v>91</v>
      </c>
      <c r="C481" s="138" t="b">
        <v>0</v>
      </c>
    </row>
    <row r="482" spans="1:3" ht="12.75">
      <c r="A482" s="137"/>
      <c r="B482" s="3" t="s">
        <v>89</v>
      </c>
      <c r="C482" s="138" t="b">
        <v>0</v>
      </c>
    </row>
    <row r="483" spans="1:3" ht="11.25">
      <c r="A483" s="137">
        <v>1</v>
      </c>
      <c r="B483" s="139"/>
      <c r="C483" s="138"/>
    </row>
    <row r="484" spans="1:3" ht="11.25">
      <c r="A484" s="137">
        <v>1</v>
      </c>
      <c r="B484" s="139"/>
      <c r="C484" s="138"/>
    </row>
    <row r="485" spans="1:3" ht="11.25">
      <c r="A485" s="142">
        <v>1</v>
      </c>
      <c r="B485" s="156"/>
      <c r="C485" s="143"/>
    </row>
    <row r="487" ht="11.25">
      <c r="A487" s="151" t="s">
        <v>644</v>
      </c>
    </row>
    <row r="488" ht="11.25">
      <c r="A488" s="155">
        <f>Charakter!O173+Charakter!O175+Charakter!O177</f>
        <v>0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N209"/>
  <sheetViews>
    <sheetView showGridLines="0" showZeros="0" zoomScaleSheetLayoutView="100" workbookViewId="0" topLeftCell="A23">
      <selection activeCell="M39" sqref="M39:R45"/>
    </sheetView>
  </sheetViews>
  <sheetFormatPr defaultColWidth="11.421875" defaultRowHeight="16.5" customHeight="1"/>
  <cols>
    <col min="1" max="16384" width="2.7109375" style="4" customWidth="1"/>
  </cols>
  <sheetData>
    <row r="1" spans="1:40" ht="20.25">
      <c r="A1" s="458">
        <f>Eingabe!F4</f>
        <v>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</row>
    <row r="2" spans="1:31" ht="16.5" customHeight="1">
      <c r="A2" s="239" t="s">
        <v>541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72"/>
      <c r="N2" s="72"/>
      <c r="R2" s="72"/>
      <c r="U2" s="242" t="s">
        <v>330</v>
      </c>
      <c r="V2" s="243"/>
      <c r="W2" s="243"/>
      <c r="X2" s="243"/>
      <c r="Y2" s="243"/>
      <c r="Z2" s="243"/>
      <c r="AA2" s="243"/>
      <c r="AB2" s="243"/>
      <c r="AC2" s="243"/>
      <c r="AD2" s="243"/>
      <c r="AE2" s="243"/>
    </row>
    <row r="3" spans="1:38" ht="16.5" customHeight="1">
      <c r="A3" s="237" t="s">
        <v>464</v>
      </c>
      <c r="B3" s="73"/>
      <c r="C3" s="73"/>
      <c r="D3" s="73"/>
      <c r="E3" s="73"/>
      <c r="F3" s="497">
        <f>Eingabe!Stufe_Total</f>
        <v>1</v>
      </c>
      <c r="G3" s="498"/>
      <c r="H3" s="39"/>
      <c r="I3" s="39"/>
      <c r="J3" s="237" t="s">
        <v>294</v>
      </c>
      <c r="M3" s="476" t="str">
        <f>INDEX(Zwischenwerte!A132:A152,Zwischenwerte!B131,1)</f>
        <v>Breland</v>
      </c>
      <c r="N3" s="476"/>
      <c r="O3" s="476"/>
      <c r="P3" s="476"/>
      <c r="Q3" s="476"/>
      <c r="R3" s="476"/>
      <c r="U3" s="494" t="str">
        <f>INDEX(Zwischenwerte!$A$193:$A$225,Zwischenwerte!$E$193,1)</f>
        <v>Keine</v>
      </c>
      <c r="V3" s="494"/>
      <c r="W3" s="494"/>
      <c r="X3" s="494"/>
      <c r="Y3" s="494"/>
      <c r="Z3" s="494"/>
      <c r="AA3" s="237" t="s">
        <v>463</v>
      </c>
      <c r="AB3" s="74">
        <f>INDEX(Zwischenwerte!$A$230:$A$250,Zwischenwerte!$B229,1)</f>
        <v>1</v>
      </c>
      <c r="AC3" s="237" t="s">
        <v>30</v>
      </c>
      <c r="AD3" s="445">
        <f>IF(Eingabe!L25&gt;0,"W"&amp;Eingabe!L25,"")</f>
      </c>
      <c r="AE3" s="445"/>
      <c r="AF3" s="238" t="s">
        <v>497</v>
      </c>
      <c r="AG3" s="76">
        <f>FP_1</f>
        <v>0</v>
      </c>
      <c r="AI3" s="427" t="s">
        <v>331</v>
      </c>
      <c r="AJ3" s="427"/>
      <c r="AK3" s="427"/>
      <c r="AL3" s="427"/>
    </row>
    <row r="4" spans="1:38" ht="16.5" customHeight="1">
      <c r="A4" s="237" t="s">
        <v>351</v>
      </c>
      <c r="D4" s="445" t="str">
        <f>INDEX(Zwischenwerte!A301:B323,Zwischenwerte!C301,1)</f>
        <v>Mensch</v>
      </c>
      <c r="E4" s="445"/>
      <c r="F4" s="445"/>
      <c r="G4" s="445"/>
      <c r="H4" s="445"/>
      <c r="I4" s="445"/>
      <c r="J4" s="237" t="s">
        <v>641</v>
      </c>
      <c r="N4" s="495" t="str">
        <f>INDEX(Zwischenwerte!A14:A15,Zwischenwerte!B14,1)</f>
        <v>männlich</v>
      </c>
      <c r="O4" s="495"/>
      <c r="P4" s="495"/>
      <c r="Q4" s="495"/>
      <c r="R4" s="495"/>
      <c r="U4" s="494" t="str">
        <f>INDEX(Zwischenwerte!$A$193:$A$225,Zwischenwerte!$E$194,1)</f>
        <v>Keine</v>
      </c>
      <c r="V4" s="494"/>
      <c r="W4" s="494"/>
      <c r="X4" s="494"/>
      <c r="Y4" s="494"/>
      <c r="Z4" s="494"/>
      <c r="AA4" s="237" t="s">
        <v>463</v>
      </c>
      <c r="AB4" s="74">
        <f>INDEX(Zwischenwerte!$A$230:$A$250,Zwischenwerte!$B231,1)</f>
        <v>0</v>
      </c>
      <c r="AC4" s="237" t="s">
        <v>30</v>
      </c>
      <c r="AD4" s="445">
        <f>IF(Eingabe!L26&gt;0,"W"&amp;Eingabe!L26,"")</f>
      </c>
      <c r="AE4" s="445"/>
      <c r="AF4" s="238" t="s">
        <v>497</v>
      </c>
      <c r="AG4" s="76">
        <f>FP_2</f>
        <v>0</v>
      </c>
      <c r="AI4" s="496">
        <f>Eingabe!XP</f>
        <v>0</v>
      </c>
      <c r="AJ4" s="496"/>
      <c r="AK4" s="496"/>
      <c r="AL4" s="496"/>
    </row>
    <row r="5" spans="1:39" ht="16.5" customHeight="1">
      <c r="A5" s="237" t="s">
        <v>111</v>
      </c>
      <c r="E5" s="501" t="str">
        <f>INDEX(Zwischenwerte!A2:A10,Zwischenwerte!B1,1)</f>
        <v>Rechtschaffen Gut</v>
      </c>
      <c r="F5" s="501"/>
      <c r="G5" s="501"/>
      <c r="H5" s="501"/>
      <c r="I5" s="501"/>
      <c r="J5" s="241" t="s">
        <v>32</v>
      </c>
      <c r="K5" s="39"/>
      <c r="L5" s="39"/>
      <c r="M5" s="495" t="str">
        <f>INDEX(Zwischenwerte!A108:A129,Zwischenwerte!B108,1)</f>
        <v>Die Göttliche Heerschar</v>
      </c>
      <c r="N5" s="495"/>
      <c r="O5" s="495"/>
      <c r="P5" s="495"/>
      <c r="Q5" s="495"/>
      <c r="R5" s="495"/>
      <c r="U5" s="494" t="str">
        <f>INDEX(Zwischenwerte!$A$193:$A$225,Zwischenwerte!$E$195,1)</f>
        <v>Keine</v>
      </c>
      <c r="V5" s="494"/>
      <c r="W5" s="494"/>
      <c r="X5" s="494"/>
      <c r="Y5" s="494"/>
      <c r="Z5" s="494"/>
      <c r="AA5" s="237" t="s">
        <v>463</v>
      </c>
      <c r="AB5" s="74">
        <f>INDEX(Zwischenwerte!$A$230:$A$250,Zwischenwerte!$B232,1)</f>
        <v>0</v>
      </c>
      <c r="AC5" s="237" t="s">
        <v>30</v>
      </c>
      <c r="AD5" s="445">
        <f>IF(Eingabe!L27&gt;0,"W"&amp;Eingabe!L27,"")</f>
      </c>
      <c r="AE5" s="445"/>
      <c r="AF5" s="238" t="s">
        <v>497</v>
      </c>
      <c r="AG5" s="76">
        <f>FP_3</f>
        <v>0</v>
      </c>
      <c r="AH5" s="427" t="s">
        <v>28</v>
      </c>
      <c r="AI5" s="427"/>
      <c r="AJ5" s="427"/>
      <c r="AK5" s="427"/>
      <c r="AL5" s="427"/>
      <c r="AM5" s="427"/>
    </row>
    <row r="6" spans="1:38" ht="16.5" customHeight="1">
      <c r="A6" s="237" t="s">
        <v>327</v>
      </c>
      <c r="C6" s="445">
        <f>Alter</f>
        <v>0</v>
      </c>
      <c r="D6" s="445"/>
      <c r="E6" s="429" t="s">
        <v>322</v>
      </c>
      <c r="F6" s="429"/>
      <c r="G6" s="429"/>
      <c r="H6" s="501" t="str">
        <f>INDEX(Zwischenwerte!A18:A19,Zwischenwerte!B18,1)</f>
        <v>M</v>
      </c>
      <c r="I6" s="501"/>
      <c r="J6" s="237" t="s">
        <v>323</v>
      </c>
      <c r="L6" s="511" t="str">
        <f>Eingabe!F15&amp;"cm"</f>
        <v>cm</v>
      </c>
      <c r="M6" s="511"/>
      <c r="N6" s="237" t="s">
        <v>324</v>
      </c>
      <c r="Q6" s="512" t="str">
        <f>Eingabe!F14&amp;"kg"</f>
        <v>kg</v>
      </c>
      <c r="R6" s="513"/>
      <c r="U6" s="494" t="str">
        <f>INDEX(Zwischenwerte!$A$193:$A$225,Zwischenwerte!$E$196,1)</f>
        <v>Keine</v>
      </c>
      <c r="V6" s="494"/>
      <c r="W6" s="494"/>
      <c r="X6" s="494"/>
      <c r="Y6" s="494"/>
      <c r="Z6" s="494"/>
      <c r="AA6" s="237" t="s">
        <v>463</v>
      </c>
      <c r="AB6" s="74">
        <f>INDEX(Zwischenwerte!$A$230:$A$250,Zwischenwerte!$B234,1)</f>
        <v>0</v>
      </c>
      <c r="AC6" s="237" t="s">
        <v>30</v>
      </c>
      <c r="AD6" s="445">
        <f>IF(Eingabe!L28&gt;0,"W"&amp;Eingabe!L28,"")</f>
      </c>
      <c r="AE6" s="445"/>
      <c r="AF6" s="238" t="s">
        <v>497</v>
      </c>
      <c r="AG6" s="76">
        <f>FP_4</f>
        <v>0</v>
      </c>
      <c r="AI6" s="460">
        <f>Eingabe!H18</f>
        <v>1000</v>
      </c>
      <c r="AJ6" s="460"/>
      <c r="AK6" s="460"/>
      <c r="AL6" s="460"/>
    </row>
    <row r="7" spans="30:33" ht="16.5" customHeight="1">
      <c r="AD7" s="79"/>
      <c r="AG7" s="80"/>
    </row>
    <row r="8" spans="1:31" ht="16.5" customHeight="1">
      <c r="A8" s="244" t="s">
        <v>350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U8" s="244" t="s">
        <v>99</v>
      </c>
      <c r="V8" s="245"/>
      <c r="W8" s="245"/>
      <c r="X8" s="245"/>
      <c r="Y8" s="245"/>
      <c r="Z8" s="245"/>
      <c r="AA8" s="245"/>
      <c r="AB8" s="245"/>
      <c r="AC8" s="245"/>
      <c r="AD8" s="245"/>
      <c r="AE8" s="245"/>
    </row>
    <row r="9" spans="1:37" ht="16.5" customHeight="1">
      <c r="A9" s="502" t="str">
        <f>INDEX(Zwischenwerte!A301:B323,Zwischenwerte!C301,2)</f>
        <v>+1 Fertigkeitspunkt,  +1 Talent</v>
      </c>
      <c r="B9" s="503"/>
      <c r="C9" s="503"/>
      <c r="D9" s="503"/>
      <c r="E9" s="503"/>
      <c r="F9" s="503"/>
      <c r="G9" s="503"/>
      <c r="H9" s="503"/>
      <c r="I9" s="503"/>
      <c r="J9" s="503"/>
      <c r="K9" s="503"/>
      <c r="L9" s="503"/>
      <c r="M9" s="503"/>
      <c r="N9" s="503"/>
      <c r="O9" s="503"/>
      <c r="P9" s="503"/>
      <c r="Q9" s="503"/>
      <c r="R9" s="504"/>
      <c r="U9" s="491">
        <f>Eingabe!B37</f>
        <v>0</v>
      </c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492"/>
      <c r="AG9" s="492"/>
      <c r="AH9" s="492"/>
      <c r="AI9" s="492"/>
      <c r="AJ9" s="492"/>
      <c r="AK9" s="493"/>
    </row>
    <row r="10" spans="1:37" ht="16.5" customHeight="1">
      <c r="A10" s="505"/>
      <c r="B10" s="506"/>
      <c r="C10" s="506"/>
      <c r="D10" s="506"/>
      <c r="E10" s="506"/>
      <c r="F10" s="506"/>
      <c r="G10" s="506"/>
      <c r="H10" s="506"/>
      <c r="I10" s="506"/>
      <c r="J10" s="506"/>
      <c r="K10" s="506"/>
      <c r="L10" s="506"/>
      <c r="M10" s="506"/>
      <c r="N10" s="506"/>
      <c r="O10" s="506"/>
      <c r="P10" s="506"/>
      <c r="Q10" s="506"/>
      <c r="R10" s="507"/>
      <c r="U10" s="488">
        <f>Eingabe!B38</f>
        <v>0</v>
      </c>
      <c r="V10" s="489"/>
      <c r="W10" s="489"/>
      <c r="X10" s="489"/>
      <c r="Y10" s="489"/>
      <c r="Z10" s="489"/>
      <c r="AA10" s="489"/>
      <c r="AB10" s="489"/>
      <c r="AC10" s="489"/>
      <c r="AD10" s="489"/>
      <c r="AE10" s="489"/>
      <c r="AF10" s="489"/>
      <c r="AG10" s="489"/>
      <c r="AH10" s="489"/>
      <c r="AI10" s="489"/>
      <c r="AJ10" s="489"/>
      <c r="AK10" s="490"/>
    </row>
    <row r="11" spans="1:37" ht="16.5" customHeight="1">
      <c r="A11" s="505"/>
      <c r="B11" s="506"/>
      <c r="C11" s="506"/>
      <c r="D11" s="506"/>
      <c r="E11" s="506"/>
      <c r="F11" s="506"/>
      <c r="G11" s="506"/>
      <c r="H11" s="506"/>
      <c r="I11" s="506"/>
      <c r="J11" s="506"/>
      <c r="K11" s="506"/>
      <c r="L11" s="506"/>
      <c r="M11" s="506"/>
      <c r="N11" s="506"/>
      <c r="O11" s="506"/>
      <c r="P11" s="506"/>
      <c r="Q11" s="506"/>
      <c r="R11" s="507"/>
      <c r="U11" s="488">
        <f>Eingabe!B39</f>
        <v>0</v>
      </c>
      <c r="V11" s="489"/>
      <c r="W11" s="489"/>
      <c r="X11" s="489"/>
      <c r="Y11" s="489"/>
      <c r="Z11" s="489"/>
      <c r="AA11" s="489"/>
      <c r="AB11" s="489"/>
      <c r="AC11" s="489"/>
      <c r="AD11" s="489"/>
      <c r="AE11" s="489"/>
      <c r="AF11" s="489"/>
      <c r="AG11" s="489"/>
      <c r="AH11" s="489"/>
      <c r="AI11" s="489"/>
      <c r="AJ11" s="489"/>
      <c r="AK11" s="490"/>
    </row>
    <row r="12" spans="1:37" ht="16.5" customHeight="1">
      <c r="A12" s="505"/>
      <c r="B12" s="506"/>
      <c r="C12" s="506"/>
      <c r="D12" s="506"/>
      <c r="E12" s="506"/>
      <c r="F12" s="506"/>
      <c r="G12" s="506"/>
      <c r="H12" s="506"/>
      <c r="I12" s="506"/>
      <c r="J12" s="506"/>
      <c r="K12" s="506"/>
      <c r="L12" s="506"/>
      <c r="M12" s="506"/>
      <c r="N12" s="506"/>
      <c r="O12" s="506"/>
      <c r="P12" s="506"/>
      <c r="Q12" s="506"/>
      <c r="R12" s="507"/>
      <c r="U12" s="488">
        <f>Eingabe!B40</f>
        <v>0</v>
      </c>
      <c r="V12" s="489"/>
      <c r="W12" s="489"/>
      <c r="X12" s="489"/>
      <c r="Y12" s="489"/>
      <c r="Z12" s="489"/>
      <c r="AA12" s="489"/>
      <c r="AB12" s="489"/>
      <c r="AC12" s="489"/>
      <c r="AD12" s="489"/>
      <c r="AE12" s="489"/>
      <c r="AF12" s="489"/>
      <c r="AG12" s="489"/>
      <c r="AH12" s="489"/>
      <c r="AI12" s="489"/>
      <c r="AJ12" s="489"/>
      <c r="AK12" s="490"/>
    </row>
    <row r="13" spans="1:37" ht="16.5" customHeight="1">
      <c r="A13" s="505"/>
      <c r="B13" s="506"/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6"/>
      <c r="Q13" s="506"/>
      <c r="R13" s="507"/>
      <c r="U13" s="488">
        <f>Eingabe!B41</f>
        <v>0</v>
      </c>
      <c r="V13" s="489"/>
      <c r="W13" s="489"/>
      <c r="X13" s="489"/>
      <c r="Y13" s="489"/>
      <c r="Z13" s="489"/>
      <c r="AA13" s="489"/>
      <c r="AB13" s="489"/>
      <c r="AC13" s="489"/>
      <c r="AD13" s="489"/>
      <c r="AE13" s="489"/>
      <c r="AF13" s="489"/>
      <c r="AG13" s="489"/>
      <c r="AH13" s="489"/>
      <c r="AI13" s="489"/>
      <c r="AJ13" s="489"/>
      <c r="AK13" s="490"/>
    </row>
    <row r="14" spans="1:37" ht="16.5" customHeight="1">
      <c r="A14" s="505"/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7"/>
      <c r="U14" s="488">
        <f>Eingabe!B42</f>
        <v>0</v>
      </c>
      <c r="V14" s="489"/>
      <c r="W14" s="489"/>
      <c r="X14" s="489"/>
      <c r="Y14" s="489"/>
      <c r="Z14" s="489"/>
      <c r="AA14" s="489"/>
      <c r="AB14" s="489"/>
      <c r="AC14" s="489"/>
      <c r="AD14" s="489"/>
      <c r="AE14" s="489"/>
      <c r="AF14" s="489"/>
      <c r="AG14" s="489"/>
      <c r="AH14" s="489"/>
      <c r="AI14" s="489"/>
      <c r="AJ14" s="489"/>
      <c r="AK14" s="490"/>
    </row>
    <row r="15" spans="1:37" ht="16.5" customHeight="1">
      <c r="A15" s="505"/>
      <c r="B15" s="506"/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6"/>
      <c r="N15" s="506"/>
      <c r="O15" s="506"/>
      <c r="P15" s="506"/>
      <c r="Q15" s="506"/>
      <c r="R15" s="507"/>
      <c r="U15" s="488">
        <f>Eingabe!B43</f>
        <v>0</v>
      </c>
      <c r="V15" s="489"/>
      <c r="W15" s="489"/>
      <c r="X15" s="489"/>
      <c r="Y15" s="489"/>
      <c r="Z15" s="489"/>
      <c r="AA15" s="489"/>
      <c r="AB15" s="489"/>
      <c r="AC15" s="489"/>
      <c r="AD15" s="489"/>
      <c r="AE15" s="489"/>
      <c r="AF15" s="489"/>
      <c r="AG15" s="489"/>
      <c r="AH15" s="489"/>
      <c r="AI15" s="489"/>
      <c r="AJ15" s="489"/>
      <c r="AK15" s="490"/>
    </row>
    <row r="16" spans="1:37" ht="16.5" customHeight="1">
      <c r="A16" s="505"/>
      <c r="B16" s="506"/>
      <c r="C16" s="506"/>
      <c r="D16" s="506"/>
      <c r="E16" s="506"/>
      <c r="F16" s="506"/>
      <c r="G16" s="506"/>
      <c r="H16" s="506"/>
      <c r="I16" s="506"/>
      <c r="J16" s="506"/>
      <c r="K16" s="506"/>
      <c r="L16" s="506"/>
      <c r="M16" s="506"/>
      <c r="N16" s="506"/>
      <c r="O16" s="506"/>
      <c r="P16" s="506"/>
      <c r="Q16" s="506"/>
      <c r="R16" s="507"/>
      <c r="U16" s="488">
        <f>Eingabe!B44</f>
        <v>0</v>
      </c>
      <c r="V16" s="489"/>
      <c r="W16" s="489"/>
      <c r="X16" s="489"/>
      <c r="Y16" s="489"/>
      <c r="Z16" s="489"/>
      <c r="AA16" s="489"/>
      <c r="AB16" s="489"/>
      <c r="AC16" s="489"/>
      <c r="AD16" s="489"/>
      <c r="AE16" s="489"/>
      <c r="AF16" s="489"/>
      <c r="AG16" s="489"/>
      <c r="AH16" s="489"/>
      <c r="AI16" s="489"/>
      <c r="AJ16" s="489"/>
      <c r="AK16" s="490"/>
    </row>
    <row r="17" spans="1:37" ht="16.5" customHeight="1">
      <c r="A17" s="508"/>
      <c r="B17" s="509"/>
      <c r="C17" s="509"/>
      <c r="D17" s="509"/>
      <c r="E17" s="509"/>
      <c r="F17" s="509"/>
      <c r="G17" s="509"/>
      <c r="H17" s="509"/>
      <c r="I17" s="509"/>
      <c r="J17" s="509"/>
      <c r="K17" s="509"/>
      <c r="L17" s="509"/>
      <c r="M17" s="509"/>
      <c r="N17" s="509"/>
      <c r="O17" s="509"/>
      <c r="P17" s="509"/>
      <c r="Q17" s="509"/>
      <c r="R17" s="510"/>
      <c r="U17" s="499">
        <f>Eingabe!B45</f>
        <v>0</v>
      </c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4"/>
      <c r="AH17" s="434"/>
      <c r="AI17" s="434"/>
      <c r="AJ17" s="434"/>
      <c r="AK17" s="500"/>
    </row>
    <row r="19" spans="1:31" ht="16.5" customHeight="1">
      <c r="A19" s="242" t="s">
        <v>332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U19" s="242" t="s">
        <v>338</v>
      </c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</row>
    <row r="20" spans="10:35" ht="16.5" customHeight="1">
      <c r="J20" s="486" t="s">
        <v>336</v>
      </c>
      <c r="K20" s="486"/>
      <c r="L20" s="237"/>
      <c r="M20" s="237"/>
      <c r="N20" s="486" t="s">
        <v>337</v>
      </c>
      <c r="O20" s="486"/>
      <c r="P20" s="237"/>
      <c r="Q20" s="486" t="s">
        <v>336</v>
      </c>
      <c r="R20" s="486"/>
      <c r="U20" s="485" t="s">
        <v>340</v>
      </c>
      <c r="V20" s="486"/>
      <c r="W20" s="486"/>
      <c r="X20" s="237"/>
      <c r="Y20" s="457" t="s">
        <v>341</v>
      </c>
      <c r="Z20" s="484"/>
      <c r="AA20" s="248"/>
      <c r="AB20" s="457" t="s">
        <v>26</v>
      </c>
      <c r="AC20" s="484"/>
      <c r="AD20" s="248"/>
      <c r="AE20" s="457" t="s">
        <v>114</v>
      </c>
      <c r="AF20" s="484"/>
      <c r="AG20" s="237"/>
      <c r="AH20" s="457" t="s">
        <v>342</v>
      </c>
      <c r="AI20" s="484"/>
    </row>
    <row r="21" spans="1:35" ht="16.5" customHeight="1">
      <c r="A21" s="235" t="s">
        <v>333</v>
      </c>
      <c r="G21" s="430">
        <f>INDEX(Zwischenwerte!$A$253:$A$278,Zwischenwerte!$C253,1)</f>
        <v>2</v>
      </c>
      <c r="H21" s="431"/>
      <c r="J21" s="432">
        <f>IF(Eingabe!Stärke_Mod&gt;=0,"+"&amp;Eingabe!Stärke_Mod,Eingabe!Stärke_Mod)</f>
        <v>-4</v>
      </c>
      <c r="K21" s="432"/>
      <c r="N21" s="425"/>
      <c r="O21" s="426"/>
      <c r="P21" s="80"/>
      <c r="Q21" s="433"/>
      <c r="R21" s="433"/>
      <c r="U21" s="478">
        <f>IF(RW_Zähigkeit=0,"0",RW_Zähigkeit)</f>
        <v>-4</v>
      </c>
      <c r="V21" s="463"/>
      <c r="W21" s="466"/>
      <c r="X21" s="2" t="s">
        <v>344</v>
      </c>
      <c r="Y21" s="460">
        <f>Eingabe!G58</f>
        <v>0</v>
      </c>
      <c r="Z21" s="460"/>
      <c r="AA21" s="2"/>
      <c r="AB21" s="460">
        <f>Konstitution_Mod</f>
        <v>-4</v>
      </c>
      <c r="AC21" s="460"/>
      <c r="AD21" s="2" t="s">
        <v>345</v>
      </c>
      <c r="AE21" s="460">
        <f>Eingabe!M58</f>
        <v>0</v>
      </c>
      <c r="AF21" s="460"/>
      <c r="AG21" s="2" t="s">
        <v>345</v>
      </c>
      <c r="AH21" s="483"/>
      <c r="AI21" s="483"/>
    </row>
    <row r="22" spans="1:35" s="39" customFormat="1" ht="3" customHeight="1">
      <c r="A22" s="236"/>
      <c r="G22" s="130"/>
      <c r="H22" s="130"/>
      <c r="J22" s="131"/>
      <c r="K22" s="131"/>
      <c r="N22" s="38"/>
      <c r="O22" s="38"/>
      <c r="P22" s="83"/>
      <c r="Q22" s="240"/>
      <c r="R22" s="240"/>
      <c r="U22" s="84"/>
      <c r="V22" s="84"/>
      <c r="W22" s="84"/>
      <c r="X22" s="85"/>
      <c r="Y22" s="84"/>
      <c r="Z22" s="84"/>
      <c r="AA22" s="85"/>
      <c r="AB22" s="84"/>
      <c r="AC22" s="84"/>
      <c r="AD22" s="85"/>
      <c r="AE22" s="84"/>
      <c r="AF22" s="84"/>
      <c r="AG22" s="85"/>
      <c r="AH22" s="84"/>
      <c r="AI22" s="84"/>
    </row>
    <row r="23" spans="1:35" ht="16.5" customHeight="1">
      <c r="A23" s="235" t="s">
        <v>194</v>
      </c>
      <c r="G23" s="430">
        <f>INDEX(Zwischenwerte!$A$253:$A$278,Zwischenwerte!$C254,1)</f>
        <v>2</v>
      </c>
      <c r="H23" s="431"/>
      <c r="J23" s="432">
        <f>IF([0]!Geschicklichkeit_Mod&gt;=0,"+"&amp;[0]!Geschicklichkeit_Mod,[0]!Geschicklichkeit_Mod)</f>
        <v>-4</v>
      </c>
      <c r="K23" s="432"/>
      <c r="N23" s="425"/>
      <c r="O23" s="426"/>
      <c r="P23" s="80"/>
      <c r="Q23" s="433"/>
      <c r="R23" s="433"/>
      <c r="U23" s="485" t="s">
        <v>339</v>
      </c>
      <c r="V23" s="486"/>
      <c r="W23" s="486"/>
      <c r="X23" s="237"/>
      <c r="Y23" s="457" t="s">
        <v>341</v>
      </c>
      <c r="Z23" s="484"/>
      <c r="AA23" s="248"/>
      <c r="AB23" s="457" t="s">
        <v>26</v>
      </c>
      <c r="AC23" s="484"/>
      <c r="AD23" s="248"/>
      <c r="AE23" s="457" t="s">
        <v>114</v>
      </c>
      <c r="AF23" s="484"/>
      <c r="AG23" s="237"/>
      <c r="AH23" s="457" t="s">
        <v>342</v>
      </c>
      <c r="AI23" s="484"/>
    </row>
    <row r="24" spans="1:35" s="39" customFormat="1" ht="3" customHeight="1">
      <c r="A24" s="236"/>
      <c r="G24" s="130"/>
      <c r="H24" s="130"/>
      <c r="J24" s="131"/>
      <c r="K24" s="131"/>
      <c r="N24" s="38"/>
      <c r="O24" s="38"/>
      <c r="P24" s="83"/>
      <c r="Q24" s="240"/>
      <c r="R24" s="240"/>
      <c r="U24" s="84"/>
      <c r="V24" s="84"/>
      <c r="W24" s="84"/>
      <c r="X24" s="85"/>
      <c r="Y24" s="84"/>
      <c r="Z24" s="84"/>
      <c r="AA24" s="85"/>
      <c r="AB24" s="84"/>
      <c r="AC24" s="84"/>
      <c r="AD24" s="85"/>
      <c r="AE24" s="84"/>
      <c r="AF24" s="84"/>
      <c r="AG24" s="85"/>
      <c r="AH24" s="84"/>
      <c r="AI24" s="84"/>
    </row>
    <row r="25" spans="1:35" ht="16.5" customHeight="1">
      <c r="A25" s="235" t="s">
        <v>335</v>
      </c>
      <c r="G25" s="430">
        <f>INDEX(Zwischenwerte!$A$253:$A$278,Zwischenwerte!$C255,1)</f>
        <v>2</v>
      </c>
      <c r="H25" s="431"/>
      <c r="J25" s="432">
        <f>IF(Eingabe!Konstitution_Mod&gt;=0,"+"&amp;Eingabe!Konstitution_Mod,Eingabe!Konstitution_Mod)</f>
        <v>-4</v>
      </c>
      <c r="K25" s="432"/>
      <c r="N25" s="425"/>
      <c r="O25" s="426"/>
      <c r="P25" s="80"/>
      <c r="Q25" s="433"/>
      <c r="R25" s="433"/>
      <c r="U25" s="478">
        <f>IF(RW_Reflexe=0,"0",RW_Reflexe)</f>
        <v>-4</v>
      </c>
      <c r="V25" s="463"/>
      <c r="W25" s="466"/>
      <c r="X25" s="2" t="s">
        <v>344</v>
      </c>
      <c r="Y25" s="460">
        <f>Eingabe!G60</f>
        <v>0</v>
      </c>
      <c r="Z25" s="460"/>
      <c r="AA25" s="2"/>
      <c r="AB25" s="460">
        <f>Geschicklichkeit_Mod</f>
        <v>-4</v>
      </c>
      <c r="AC25" s="460"/>
      <c r="AD25" s="2" t="s">
        <v>345</v>
      </c>
      <c r="AE25" s="460">
        <f>Eingabe!M60</f>
        <v>0</v>
      </c>
      <c r="AF25" s="460"/>
      <c r="AG25" s="2" t="s">
        <v>345</v>
      </c>
      <c r="AH25" s="483"/>
      <c r="AI25" s="483"/>
    </row>
    <row r="26" spans="1:35" s="39" customFormat="1" ht="3" customHeight="1">
      <c r="A26" s="236"/>
      <c r="G26" s="130"/>
      <c r="H26" s="130"/>
      <c r="J26" s="131"/>
      <c r="K26" s="131"/>
      <c r="N26" s="38"/>
      <c r="O26" s="38"/>
      <c r="P26" s="83"/>
      <c r="Q26" s="240"/>
      <c r="R26" s="240"/>
      <c r="U26" s="84"/>
      <c r="V26" s="84"/>
      <c r="W26" s="84"/>
      <c r="X26" s="85"/>
      <c r="Y26" s="84"/>
      <c r="Z26" s="84"/>
      <c r="AA26" s="85"/>
      <c r="AB26" s="84"/>
      <c r="AC26" s="84"/>
      <c r="AD26" s="85"/>
      <c r="AE26" s="84"/>
      <c r="AF26" s="84"/>
      <c r="AG26" s="85"/>
      <c r="AH26" s="84"/>
      <c r="AI26" s="84"/>
    </row>
    <row r="27" spans="1:35" ht="16.5" customHeight="1">
      <c r="A27" s="235" t="s">
        <v>133</v>
      </c>
      <c r="G27" s="430">
        <f>INDEX(Zwischenwerte!$A$253:$A$278,Zwischenwerte!$C256,1)</f>
        <v>2</v>
      </c>
      <c r="H27" s="431"/>
      <c r="J27" s="432">
        <f>IF([0]!Intelligenz_Mod&gt;=0,"+"&amp;[0]!Intelligenz_Mod,[0]!Intelligenz_Mod)</f>
        <v>-4</v>
      </c>
      <c r="K27" s="432"/>
      <c r="N27" s="425"/>
      <c r="O27" s="426"/>
      <c r="P27" s="80"/>
      <c r="Q27" s="433"/>
      <c r="R27" s="433"/>
      <c r="U27" s="485" t="s">
        <v>343</v>
      </c>
      <c r="V27" s="486"/>
      <c r="W27" s="486"/>
      <c r="X27" s="237"/>
      <c r="Y27" s="457" t="s">
        <v>341</v>
      </c>
      <c r="Z27" s="484"/>
      <c r="AA27" s="248"/>
      <c r="AB27" s="457" t="s">
        <v>26</v>
      </c>
      <c r="AC27" s="484"/>
      <c r="AD27" s="248"/>
      <c r="AE27" s="457" t="s">
        <v>114</v>
      </c>
      <c r="AF27" s="484"/>
      <c r="AG27" s="237"/>
      <c r="AH27" s="457" t="s">
        <v>342</v>
      </c>
      <c r="AI27" s="484"/>
    </row>
    <row r="28" spans="1:35" s="39" customFormat="1" ht="3" customHeight="1">
      <c r="A28" s="236"/>
      <c r="G28" s="130"/>
      <c r="H28" s="130"/>
      <c r="J28" s="131"/>
      <c r="K28" s="131"/>
      <c r="N28" s="38"/>
      <c r="O28" s="38"/>
      <c r="P28" s="83"/>
      <c r="Q28" s="240"/>
      <c r="R28" s="240"/>
      <c r="U28" s="84"/>
      <c r="V28" s="84"/>
      <c r="W28" s="84"/>
      <c r="X28" s="85"/>
      <c r="Y28" s="84"/>
      <c r="Z28" s="84"/>
      <c r="AA28" s="85"/>
      <c r="AB28" s="84"/>
      <c r="AC28" s="84"/>
      <c r="AD28" s="85"/>
      <c r="AE28" s="84"/>
      <c r="AF28" s="84"/>
      <c r="AG28" s="85"/>
      <c r="AH28" s="84"/>
      <c r="AI28" s="84"/>
    </row>
    <row r="29" spans="1:35" ht="16.5" customHeight="1">
      <c r="A29" s="235" t="s">
        <v>334</v>
      </c>
      <c r="G29" s="430">
        <f>INDEX(Zwischenwerte!$A$253:$A$278,Zwischenwerte!$C257,1)</f>
        <v>2</v>
      </c>
      <c r="H29" s="431"/>
      <c r="J29" s="432">
        <f>IF(Eingabe!Weisheit_Mod&gt;=0,"+"&amp;Eingabe!Weisheit_Mod,Eingabe!Weisheit_Mod)</f>
        <v>-4</v>
      </c>
      <c r="K29" s="432"/>
      <c r="N29" s="425"/>
      <c r="O29" s="426"/>
      <c r="P29" s="80"/>
      <c r="Q29" s="433"/>
      <c r="R29" s="433"/>
      <c r="U29" s="478">
        <f>IF(RW_Willen=0,"0",RW_Willen)</f>
        <v>-4</v>
      </c>
      <c r="V29" s="463"/>
      <c r="W29" s="466"/>
      <c r="X29" s="2" t="s">
        <v>344</v>
      </c>
      <c r="Y29" s="460">
        <f>Eingabe!G62</f>
        <v>0</v>
      </c>
      <c r="Z29" s="460"/>
      <c r="AA29" s="2"/>
      <c r="AB29" s="460">
        <f>Weisheit_Mod</f>
        <v>-4</v>
      </c>
      <c r="AC29" s="460"/>
      <c r="AD29" s="2" t="s">
        <v>345</v>
      </c>
      <c r="AE29" s="460">
        <f>Eingabe!M62</f>
        <v>0</v>
      </c>
      <c r="AF29" s="460"/>
      <c r="AG29" s="2" t="s">
        <v>345</v>
      </c>
      <c r="AH29" s="483"/>
      <c r="AI29" s="483"/>
    </row>
    <row r="30" spans="1:35" s="39" customFormat="1" ht="3" customHeight="1">
      <c r="A30" s="236"/>
      <c r="G30" s="130"/>
      <c r="H30" s="130"/>
      <c r="J30" s="131"/>
      <c r="K30" s="131"/>
      <c r="N30" s="38"/>
      <c r="O30" s="38"/>
      <c r="P30" s="83"/>
      <c r="Q30" s="240"/>
      <c r="R30" s="240"/>
      <c r="U30" s="84"/>
      <c r="V30" s="84"/>
      <c r="W30" s="84"/>
      <c r="X30" s="85"/>
      <c r="Y30" s="84"/>
      <c r="Z30" s="84"/>
      <c r="AA30" s="85"/>
      <c r="AB30" s="84"/>
      <c r="AC30" s="84"/>
      <c r="AD30" s="85"/>
      <c r="AE30" s="84"/>
      <c r="AF30" s="84"/>
      <c r="AG30" s="85"/>
      <c r="AH30" s="84"/>
      <c r="AI30" s="84"/>
    </row>
    <row r="31" spans="1:18" ht="16.5" customHeight="1">
      <c r="A31" s="235" t="s">
        <v>241</v>
      </c>
      <c r="G31" s="430">
        <f>INDEX(Zwischenwerte!$A$253:$A$278,Zwischenwerte!$C258,1)</f>
        <v>2</v>
      </c>
      <c r="H31" s="431"/>
      <c r="J31" s="432">
        <f>IF([0]!Charisma_Mod&gt;=0,"+"&amp;[0]!Charisma_Mod,[0]!Charisma_Mod)</f>
        <v>-4</v>
      </c>
      <c r="K31" s="432"/>
      <c r="N31" s="425"/>
      <c r="O31" s="426"/>
      <c r="P31" s="80"/>
      <c r="Q31" s="433"/>
      <c r="R31" s="433"/>
    </row>
    <row r="32" spans="1:18" ht="3" customHeight="1">
      <c r="A32" s="235"/>
      <c r="G32" s="107"/>
      <c r="H32" s="107"/>
      <c r="J32" s="131"/>
      <c r="K32" s="131"/>
      <c r="N32" s="84"/>
      <c r="O32" s="84"/>
      <c r="P32" s="80"/>
      <c r="Q32" s="84"/>
      <c r="R32" s="84"/>
    </row>
    <row r="33" spans="1:31" ht="16.5" customHeight="1">
      <c r="A33" s="235" t="s">
        <v>31</v>
      </c>
      <c r="G33" s="430">
        <f>INDEX(Zwischenwerte!$A$253:$A$278,Zwischenwerte!$C259,1)</f>
        <v>2</v>
      </c>
      <c r="H33" s="431"/>
      <c r="J33" s="432">
        <f>IF(Eingabe!L55&gt;=0,"+"&amp;Eingabe!L55,Eingabe!L55)</f>
        <v>-4</v>
      </c>
      <c r="K33" s="432"/>
      <c r="N33" s="425"/>
      <c r="O33" s="426"/>
      <c r="P33" s="80"/>
      <c r="Q33" s="433"/>
      <c r="R33" s="433"/>
      <c r="U33" s="242" t="s">
        <v>483</v>
      </c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</row>
    <row r="34" spans="20:33" ht="16.5" customHeight="1">
      <c r="T34" s="39"/>
      <c r="U34" s="89" t="str">
        <f>Eingabe!B69</f>
        <v>Handelssprache (Allgemein), </v>
      </c>
      <c r="V34" s="89"/>
      <c r="W34" s="89"/>
      <c r="X34" s="89"/>
      <c r="Y34" s="89"/>
      <c r="Z34" s="88"/>
      <c r="AA34" s="88"/>
      <c r="AB34" s="487">
        <f>IF(Zwischenwerte!C327=29,"",INDEX(Zwischenwerte!$A$328:$A$356,Zwischenwerte!$C327,1)&amp;",")</f>
      </c>
      <c r="AC34" s="487"/>
      <c r="AD34" s="487"/>
      <c r="AE34" s="487"/>
      <c r="AF34" s="487"/>
      <c r="AG34" s="487"/>
    </row>
    <row r="35" spans="1:37" ht="16.5" customHeight="1">
      <c r="A35" s="242" t="s">
        <v>346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Q35" s="514"/>
      <c r="R35" s="514"/>
      <c r="U35" s="487">
        <f>IF(Zwischenwerte!C328=29,"",INDEX(Zwischenwerte!$A$328:$A$356,Zwischenwerte!$C328,1)&amp;",")</f>
      </c>
      <c r="V35" s="487"/>
      <c r="W35" s="487"/>
      <c r="X35" s="487"/>
      <c r="Y35" s="487"/>
      <c r="Z35" s="487"/>
      <c r="AA35" s="487">
        <f>IF(Zwischenwerte!C329=29,"",INDEX(Zwischenwerte!$A$328:$A$356,Zwischenwerte!$C329,1)&amp;",")</f>
      </c>
      <c r="AB35" s="487"/>
      <c r="AC35" s="487"/>
      <c r="AD35" s="487"/>
      <c r="AE35" s="487"/>
      <c r="AF35" s="487"/>
      <c r="AG35" s="89"/>
      <c r="AH35" s="90"/>
      <c r="AI35" s="90"/>
      <c r="AJ35" s="90"/>
      <c r="AK35" s="90"/>
    </row>
    <row r="36" spans="21:37" ht="16.5" customHeight="1">
      <c r="U36" s="487">
        <f>IF(Zwischenwerte!C330=29,"",INDEX(Zwischenwerte!$A$328:$A$356,Zwischenwerte!$C330,1)&amp;",")</f>
      </c>
      <c r="V36" s="487"/>
      <c r="W36" s="487"/>
      <c r="X36" s="487"/>
      <c r="Y36" s="487"/>
      <c r="Z36" s="487"/>
      <c r="AA36" s="487">
        <f>IF(Zwischenwerte!C331=29,"",INDEX(Zwischenwerte!$A$328:$A$356,Zwischenwerte!$C331,1)&amp;",")</f>
      </c>
      <c r="AB36" s="487"/>
      <c r="AC36" s="487"/>
      <c r="AD36" s="487"/>
      <c r="AE36" s="487"/>
      <c r="AF36" s="487"/>
      <c r="AG36" s="89"/>
      <c r="AH36" s="89"/>
      <c r="AI36" s="89"/>
      <c r="AJ36" s="89"/>
      <c r="AK36" s="89"/>
    </row>
    <row r="37" spans="1:37" ht="16.5" customHeight="1">
      <c r="A37" s="237" t="s">
        <v>75</v>
      </c>
      <c r="G37" s="465">
        <f>Eingabe!H65</f>
        <v>5</v>
      </c>
      <c r="H37" s="466"/>
      <c r="J37" s="237" t="s">
        <v>94</v>
      </c>
      <c r="N37" s="465">
        <f>Eingabe!H66</f>
        <v>0</v>
      </c>
      <c r="O37" s="466"/>
      <c r="P37" s="84"/>
      <c r="Q37" s="86"/>
      <c r="R37" s="84"/>
      <c r="S37" s="87"/>
      <c r="U37" s="89">
        <f>Eingabe!B72</f>
        <v>0</v>
      </c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</row>
    <row r="38" spans="21:37" ht="16.5" customHeight="1">
      <c r="U38" s="89">
        <f>Eingabe!B73</f>
        <v>0</v>
      </c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</row>
    <row r="39" spans="1:18" ht="16.5" customHeight="1">
      <c r="A39" s="242" t="s">
        <v>31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M39" s="467"/>
      <c r="N39" s="468"/>
      <c r="O39" s="468"/>
      <c r="P39" s="468"/>
      <c r="Q39" s="468"/>
      <c r="R39" s="469"/>
    </row>
    <row r="40" spans="1:21" ht="16.5" customHeight="1">
      <c r="A40" s="434">
        <f>Eingabe!C76</f>
        <v>0</v>
      </c>
      <c r="B40" s="434"/>
      <c r="C40" s="434"/>
      <c r="D40" s="434"/>
      <c r="E40" s="434"/>
      <c r="F40" s="434"/>
      <c r="G40" s="434"/>
      <c r="H40" s="434"/>
      <c r="I40" s="434"/>
      <c r="J40" s="434"/>
      <c r="K40" s="434"/>
      <c r="M40" s="470"/>
      <c r="N40" s="471"/>
      <c r="O40" s="471"/>
      <c r="P40" s="471"/>
      <c r="Q40" s="471"/>
      <c r="R40" s="472"/>
      <c r="U40" s="242" t="s">
        <v>493</v>
      </c>
    </row>
    <row r="41" spans="1:35" ht="16.5" customHeight="1">
      <c r="A41" s="434">
        <f>Eingabe!C77</f>
        <v>0</v>
      </c>
      <c r="B41" s="434"/>
      <c r="C41" s="434"/>
      <c r="D41" s="434"/>
      <c r="E41" s="434"/>
      <c r="F41" s="434"/>
      <c r="G41" s="434"/>
      <c r="H41" s="434"/>
      <c r="I41" s="434"/>
      <c r="J41" s="434"/>
      <c r="K41" s="434"/>
      <c r="M41" s="470"/>
      <c r="N41" s="471"/>
      <c r="O41" s="471"/>
      <c r="P41" s="471"/>
      <c r="Q41" s="471"/>
      <c r="R41" s="472"/>
      <c r="U41" s="4" t="s">
        <v>486</v>
      </c>
      <c r="Y41" s="478">
        <f>Eingabe!Traglast</f>
        <v>3</v>
      </c>
      <c r="Z41" s="466"/>
      <c r="AA41" s="238" t="s">
        <v>329</v>
      </c>
      <c r="AC41" s="478">
        <f>Traglast*2</f>
        <v>6</v>
      </c>
      <c r="AD41" s="466"/>
      <c r="AE41" s="238" t="s">
        <v>329</v>
      </c>
      <c r="AG41" s="478">
        <f>Traglast*3</f>
        <v>9</v>
      </c>
      <c r="AH41" s="466"/>
      <c r="AI41" s="238" t="s">
        <v>329</v>
      </c>
    </row>
    <row r="42" spans="1:37" ht="16.5" customHeight="1">
      <c r="A42" s="434">
        <f>Eingabe!C78</f>
        <v>0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M42" s="470"/>
      <c r="N42" s="471"/>
      <c r="O42" s="471"/>
      <c r="P42" s="471"/>
      <c r="Q42" s="471"/>
      <c r="R42" s="472"/>
      <c r="AJ42" s="462"/>
      <c r="AK42" s="462"/>
    </row>
    <row r="43" spans="1:37" ht="16.5" customHeight="1">
      <c r="A43" s="434">
        <f>Eingabe!C79</f>
        <v>0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M43" s="470"/>
      <c r="N43" s="471"/>
      <c r="O43" s="471"/>
      <c r="P43" s="471"/>
      <c r="Q43" s="471"/>
      <c r="R43" s="472"/>
      <c r="U43" s="238" t="s">
        <v>487</v>
      </c>
      <c r="X43" s="460">
        <f>AG41</f>
        <v>9</v>
      </c>
      <c r="Y43" s="460"/>
      <c r="Z43" s="234" t="s">
        <v>329</v>
      </c>
      <c r="AB43" s="238" t="s">
        <v>108</v>
      </c>
      <c r="AF43" s="460">
        <f>Eingabe!Laufen</f>
        <v>9</v>
      </c>
      <c r="AG43" s="460"/>
      <c r="AH43" s="234" t="s">
        <v>494</v>
      </c>
      <c r="AI43" s="460">
        <f>0.5*Laufen</f>
        <v>4.5</v>
      </c>
      <c r="AJ43" s="460"/>
      <c r="AK43" s="234" t="s">
        <v>109</v>
      </c>
    </row>
    <row r="44" spans="1:37" ht="16.5" customHeight="1">
      <c r="A44" s="434">
        <f>Eingabe!C80</f>
        <v>0</v>
      </c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M44" s="470"/>
      <c r="N44" s="471"/>
      <c r="O44" s="471"/>
      <c r="P44" s="471"/>
      <c r="Q44" s="471"/>
      <c r="R44" s="472"/>
      <c r="U44" s="238" t="s">
        <v>488</v>
      </c>
      <c r="X44" s="460">
        <f>AG41*2</f>
        <v>18</v>
      </c>
      <c r="Y44" s="460"/>
      <c r="Z44" s="234" t="s">
        <v>329</v>
      </c>
      <c r="AB44" s="238" t="s">
        <v>107</v>
      </c>
      <c r="AF44" s="460">
        <f>Eingabe!M103</f>
        <v>18</v>
      </c>
      <c r="AG44" s="460"/>
      <c r="AH44" s="234" t="s">
        <v>494</v>
      </c>
      <c r="AI44" s="463">
        <f>AI43*2</f>
        <v>9</v>
      </c>
      <c r="AJ44" s="463"/>
      <c r="AK44" s="234" t="s">
        <v>109</v>
      </c>
    </row>
    <row r="45" spans="13:36" ht="16.5" customHeight="1">
      <c r="M45" s="473"/>
      <c r="N45" s="474"/>
      <c r="O45" s="474"/>
      <c r="P45" s="474"/>
      <c r="Q45" s="474"/>
      <c r="R45" s="475"/>
      <c r="U45" s="238" t="s">
        <v>489</v>
      </c>
      <c r="X45" s="463">
        <f>AG41*5</f>
        <v>45</v>
      </c>
      <c r="Y45" s="463"/>
      <c r="Z45" s="124" t="s">
        <v>329</v>
      </c>
      <c r="AB45" s="238" t="s">
        <v>105</v>
      </c>
      <c r="AF45" s="463">
        <f>Laufen*3</f>
        <v>27</v>
      </c>
      <c r="AG45" s="463"/>
      <c r="AH45" s="234" t="s">
        <v>494</v>
      </c>
      <c r="AI45" s="462"/>
      <c r="AJ45" s="462"/>
    </row>
    <row r="46" spans="3:36" ht="16.5" customHeight="1"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U46" s="238" t="s">
        <v>492</v>
      </c>
      <c r="X46" s="461" t="str">
        <f>T195</f>
        <v>0kg</v>
      </c>
      <c r="Y46" s="461"/>
      <c r="Z46" s="461"/>
      <c r="AB46" s="238" t="s">
        <v>106</v>
      </c>
      <c r="AF46" s="463">
        <f>Laufen*4</f>
        <v>36</v>
      </c>
      <c r="AG46" s="463"/>
      <c r="AH46" s="234" t="s">
        <v>494</v>
      </c>
      <c r="AI46" s="462"/>
      <c r="AJ46" s="462"/>
    </row>
    <row r="47" ht="16.5" customHeight="1">
      <c r="A47" s="242" t="s">
        <v>484</v>
      </c>
    </row>
    <row r="48" spans="1:30" ht="16.5" customHeight="1">
      <c r="A48" s="237" t="s">
        <v>95</v>
      </c>
      <c r="B48" s="237"/>
      <c r="C48" s="237"/>
      <c r="D48" s="237"/>
      <c r="E48" s="237"/>
      <c r="F48" s="237"/>
      <c r="G48" s="237"/>
      <c r="U48" s="237" t="s">
        <v>485</v>
      </c>
      <c r="AD48" s="237"/>
    </row>
    <row r="49" spans="1:39" ht="16.5" customHeight="1">
      <c r="A49" s="434">
        <f>Eingabe!C87</f>
        <v>0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39"/>
      <c r="U49" s="434">
        <f>Eingabe!P87</f>
        <v>0</v>
      </c>
      <c r="V49" s="434"/>
      <c r="W49" s="434"/>
      <c r="X49" s="434"/>
      <c r="Y49" s="434"/>
      <c r="Z49" s="434"/>
      <c r="AA49" s="434"/>
      <c r="AB49" s="434"/>
      <c r="AC49" s="434"/>
      <c r="AD49" s="434"/>
      <c r="AE49" s="434"/>
      <c r="AF49" s="434"/>
      <c r="AG49" s="434"/>
      <c r="AH49" s="434"/>
      <c r="AI49" s="434"/>
      <c r="AJ49" s="434"/>
      <c r="AK49" s="434"/>
      <c r="AL49" s="434"/>
      <c r="AM49" s="434"/>
    </row>
    <row r="50" spans="1:39" ht="16.5" customHeight="1">
      <c r="A50" s="434">
        <f>Eingabe!C88</f>
        <v>0</v>
      </c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U50" s="434">
        <f>Eingabe!P88</f>
        <v>0</v>
      </c>
      <c r="V50" s="434"/>
      <c r="W50" s="434"/>
      <c r="X50" s="434"/>
      <c r="Y50" s="434"/>
      <c r="Z50" s="434"/>
      <c r="AA50" s="434"/>
      <c r="AB50" s="434"/>
      <c r="AC50" s="434"/>
      <c r="AD50" s="434"/>
      <c r="AE50" s="434"/>
      <c r="AF50" s="434"/>
      <c r="AG50" s="434"/>
      <c r="AH50" s="434"/>
      <c r="AI50" s="434"/>
      <c r="AJ50" s="434"/>
      <c r="AK50" s="434"/>
      <c r="AL50" s="434"/>
      <c r="AM50" s="434"/>
    </row>
    <row r="51" spans="1:39" ht="16.5" customHeight="1">
      <c r="A51" s="434">
        <f>Eingabe!C89</f>
        <v>0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  <c r="R51" s="434"/>
      <c r="U51" s="434">
        <f>Eingabe!P89</f>
        <v>0</v>
      </c>
      <c r="V51" s="434"/>
      <c r="W51" s="434"/>
      <c r="X51" s="434"/>
      <c r="Y51" s="434"/>
      <c r="Z51" s="434"/>
      <c r="AA51" s="434"/>
      <c r="AB51" s="434"/>
      <c r="AC51" s="434"/>
      <c r="AD51" s="434"/>
      <c r="AE51" s="434"/>
      <c r="AF51" s="434"/>
      <c r="AG51" s="434"/>
      <c r="AH51" s="434"/>
      <c r="AI51" s="434"/>
      <c r="AJ51" s="434"/>
      <c r="AK51" s="434"/>
      <c r="AL51" s="434"/>
      <c r="AM51" s="434"/>
    </row>
    <row r="52" spans="1:39" ht="16.5" customHeight="1">
      <c r="A52" s="434">
        <f>Eingabe!C90</f>
        <v>0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U52" s="434">
        <f>Eingabe!P90</f>
        <v>0</v>
      </c>
      <c r="V52" s="434"/>
      <c r="W52" s="434"/>
      <c r="X52" s="434"/>
      <c r="Y52" s="434"/>
      <c r="Z52" s="434"/>
      <c r="AA52" s="434"/>
      <c r="AB52" s="434"/>
      <c r="AC52" s="434"/>
      <c r="AD52" s="434"/>
      <c r="AE52" s="434"/>
      <c r="AF52" s="434"/>
      <c r="AG52" s="434"/>
      <c r="AH52" s="434"/>
      <c r="AI52" s="434"/>
      <c r="AJ52" s="434"/>
      <c r="AK52" s="434"/>
      <c r="AL52" s="434"/>
      <c r="AM52" s="434"/>
    </row>
    <row r="53" spans="1:39" ht="16.5" customHeight="1">
      <c r="A53" s="434">
        <f>Eingabe!C91</f>
        <v>0</v>
      </c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U53" s="434">
        <f>Eingabe!P91</f>
        <v>0</v>
      </c>
      <c r="V53" s="434"/>
      <c r="W53" s="434"/>
      <c r="X53" s="434"/>
      <c r="Y53" s="434"/>
      <c r="Z53" s="434"/>
      <c r="AA53" s="434"/>
      <c r="AB53" s="434"/>
      <c r="AC53" s="434"/>
      <c r="AD53" s="434"/>
      <c r="AE53" s="434"/>
      <c r="AF53" s="434"/>
      <c r="AG53" s="434"/>
      <c r="AH53" s="434"/>
      <c r="AI53" s="434"/>
      <c r="AJ53" s="434"/>
      <c r="AK53" s="434"/>
      <c r="AL53" s="434"/>
      <c r="AM53" s="434"/>
    </row>
    <row r="54" spans="1:39" ht="16.5" customHeight="1">
      <c r="A54" s="434">
        <f>Eingabe!C92</f>
        <v>0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U54" s="434">
        <f>Eingabe!P92</f>
        <v>0</v>
      </c>
      <c r="V54" s="434"/>
      <c r="W54" s="434"/>
      <c r="X54" s="434"/>
      <c r="Y54" s="434"/>
      <c r="Z54" s="434"/>
      <c r="AA54" s="434"/>
      <c r="AB54" s="434"/>
      <c r="AC54" s="434"/>
      <c r="AD54" s="434"/>
      <c r="AE54" s="434"/>
      <c r="AF54" s="434"/>
      <c r="AG54" s="434"/>
      <c r="AH54" s="434"/>
      <c r="AI54" s="434"/>
      <c r="AJ54" s="434"/>
      <c r="AK54" s="434"/>
      <c r="AL54" s="434"/>
      <c r="AM54" s="434"/>
    </row>
    <row r="55" spans="1:39" ht="16.5" customHeight="1">
      <c r="A55" s="434">
        <f>Eingabe!C93</f>
        <v>0</v>
      </c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4"/>
      <c r="R55" s="434"/>
      <c r="U55" s="434">
        <f>Eingabe!P93</f>
        <v>0</v>
      </c>
      <c r="V55" s="434"/>
      <c r="W55" s="434"/>
      <c r="X55" s="434"/>
      <c r="Y55" s="434"/>
      <c r="Z55" s="434"/>
      <c r="AA55" s="434"/>
      <c r="AB55" s="434"/>
      <c r="AC55" s="434"/>
      <c r="AD55" s="434"/>
      <c r="AE55" s="434"/>
      <c r="AF55" s="434"/>
      <c r="AG55" s="434"/>
      <c r="AH55" s="434"/>
      <c r="AI55" s="434"/>
      <c r="AJ55" s="434"/>
      <c r="AK55" s="434"/>
      <c r="AL55" s="434"/>
      <c r="AM55" s="434"/>
    </row>
    <row r="56" spans="1:39" ht="16.5" customHeight="1">
      <c r="A56" s="434">
        <f>Eingabe!C94</f>
        <v>0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434"/>
      <c r="R56" s="434"/>
      <c r="U56" s="434">
        <f>Eingabe!P94</f>
        <v>0</v>
      </c>
      <c r="V56" s="434"/>
      <c r="W56" s="434"/>
      <c r="X56" s="434"/>
      <c r="Y56" s="434"/>
      <c r="Z56" s="434"/>
      <c r="AA56" s="434"/>
      <c r="AB56" s="434"/>
      <c r="AC56" s="434"/>
      <c r="AD56" s="434"/>
      <c r="AE56" s="434"/>
      <c r="AF56" s="434"/>
      <c r="AG56" s="434"/>
      <c r="AH56" s="434"/>
      <c r="AI56" s="434"/>
      <c r="AJ56" s="434"/>
      <c r="AK56" s="434"/>
      <c r="AL56" s="434"/>
      <c r="AM56" s="434"/>
    </row>
    <row r="57" spans="1:39" ht="16.5" customHeight="1">
      <c r="A57" s="434">
        <f>Eingabe!C95</f>
        <v>0</v>
      </c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4"/>
      <c r="R57" s="434"/>
      <c r="U57" s="434">
        <f>Eingabe!P95</f>
        <v>0</v>
      </c>
      <c r="V57" s="434"/>
      <c r="W57" s="434"/>
      <c r="X57" s="434"/>
      <c r="Y57" s="434"/>
      <c r="Z57" s="434"/>
      <c r="AA57" s="434"/>
      <c r="AB57" s="434"/>
      <c r="AC57" s="434"/>
      <c r="AD57" s="434"/>
      <c r="AE57" s="434"/>
      <c r="AF57" s="434"/>
      <c r="AG57" s="434"/>
      <c r="AH57" s="434"/>
      <c r="AI57" s="434"/>
      <c r="AJ57" s="434"/>
      <c r="AK57" s="434"/>
      <c r="AL57" s="434"/>
      <c r="AM57" s="434"/>
    </row>
    <row r="58" spans="1:39" ht="16.5" customHeight="1">
      <c r="A58" s="434">
        <f>Eingabe!C96</f>
        <v>0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434"/>
      <c r="R58" s="434"/>
      <c r="U58" s="434">
        <f>Eingabe!P96</f>
        <v>0</v>
      </c>
      <c r="V58" s="434"/>
      <c r="W58" s="434"/>
      <c r="X58" s="434"/>
      <c r="Y58" s="434"/>
      <c r="Z58" s="434"/>
      <c r="AA58" s="434"/>
      <c r="AB58" s="434"/>
      <c r="AC58" s="434"/>
      <c r="AD58" s="434"/>
      <c r="AE58" s="434"/>
      <c r="AF58" s="434"/>
      <c r="AG58" s="434"/>
      <c r="AH58" s="434"/>
      <c r="AI58" s="434"/>
      <c r="AJ58" s="434"/>
      <c r="AK58" s="434"/>
      <c r="AL58" s="434"/>
      <c r="AM58" s="434"/>
    </row>
    <row r="59" spans="1:39" ht="16.5" customHeight="1">
      <c r="A59" s="434">
        <f>Eingabe!C97</f>
        <v>0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U59" s="434">
        <f>Eingabe!P97</f>
        <v>0</v>
      </c>
      <c r="V59" s="434"/>
      <c r="W59" s="434"/>
      <c r="X59" s="434"/>
      <c r="Y59" s="434"/>
      <c r="Z59" s="434"/>
      <c r="AA59" s="434"/>
      <c r="AB59" s="434"/>
      <c r="AC59" s="434"/>
      <c r="AD59" s="434"/>
      <c r="AE59" s="434"/>
      <c r="AF59" s="434"/>
      <c r="AG59" s="434"/>
      <c r="AH59" s="434"/>
      <c r="AI59" s="434"/>
      <c r="AJ59" s="434"/>
      <c r="AK59" s="434"/>
      <c r="AL59" s="434"/>
      <c r="AM59" s="434"/>
    </row>
    <row r="60" spans="1:18" ht="16.5" customHeight="1">
      <c r="A60" s="248" t="s">
        <v>154</v>
      </c>
      <c r="B60" s="248"/>
      <c r="C60" s="248"/>
      <c r="D60" s="464">
        <f ca="1">NOW()</f>
        <v>38893.46679791667</v>
      </c>
      <c r="E60" s="464"/>
      <c r="F60" s="464"/>
      <c r="H60" s="248" t="str">
        <f>"Charakter von : "&amp;INDEX(Zwischenwerte!$A$22:$A$28,Zwischenwerte!$B$22,1)</f>
        <v>Charakter von : Anna</v>
      </c>
      <c r="I60" s="287"/>
      <c r="J60" s="287"/>
      <c r="L60" s="248"/>
      <c r="M60" s="248"/>
      <c r="N60" s="248"/>
      <c r="O60" s="248"/>
      <c r="P60" s="248"/>
      <c r="Q60" s="248"/>
      <c r="R60" s="248"/>
    </row>
    <row r="61" spans="1:40" ht="20.25">
      <c r="A61" s="458" t="str">
        <f>"FERTIGKEITEN von "&amp;Eingabe!F4</f>
        <v>FERTIGKEITEN von </v>
      </c>
      <c r="B61" s="459"/>
      <c r="C61" s="459"/>
      <c r="D61" s="459"/>
      <c r="E61" s="459"/>
      <c r="F61" s="459"/>
      <c r="G61" s="459"/>
      <c r="H61" s="459"/>
      <c r="I61" s="459"/>
      <c r="J61" s="459"/>
      <c r="K61" s="459"/>
      <c r="L61" s="459"/>
      <c r="M61" s="459"/>
      <c r="N61" s="459"/>
      <c r="O61" s="459"/>
      <c r="P61" s="459"/>
      <c r="Q61" s="459"/>
      <c r="R61" s="459"/>
      <c r="S61" s="459"/>
      <c r="T61" s="459"/>
      <c r="U61" s="459"/>
      <c r="V61" s="459"/>
      <c r="W61" s="459"/>
      <c r="X61" s="459"/>
      <c r="Y61" s="459"/>
      <c r="Z61" s="459"/>
      <c r="AA61" s="459"/>
      <c r="AB61" s="459"/>
      <c r="AC61" s="459"/>
      <c r="AD61" s="459"/>
      <c r="AE61" s="459"/>
      <c r="AF61" s="459"/>
      <c r="AG61" s="459"/>
      <c r="AH61" s="459"/>
      <c r="AI61" s="459"/>
      <c r="AJ61" s="459"/>
      <c r="AK61" s="459"/>
      <c r="AL61" s="459"/>
      <c r="AM61" s="459"/>
      <c r="AN61" s="459"/>
    </row>
    <row r="62" spans="13:39" ht="16.5" customHeight="1">
      <c r="M62" s="447" t="s">
        <v>526</v>
      </c>
      <c r="N62" s="447"/>
      <c r="O62" s="248"/>
      <c r="P62" s="249" t="s">
        <v>110</v>
      </c>
      <c r="Q62" s="250" t="s">
        <v>64</v>
      </c>
      <c r="R62" s="249"/>
      <c r="S62" s="249" t="s">
        <v>63</v>
      </c>
      <c r="T62" s="249"/>
      <c r="U62" s="249" t="s">
        <v>114</v>
      </c>
      <c r="V62" s="237"/>
      <c r="W62" s="237"/>
      <c r="X62" s="237"/>
      <c r="Y62" s="237"/>
      <c r="Z62" s="237"/>
      <c r="AA62" s="237"/>
      <c r="AB62" s="237"/>
      <c r="AC62" s="237"/>
      <c r="AD62" s="447" t="s">
        <v>526</v>
      </c>
      <c r="AE62" s="447"/>
      <c r="AF62" s="248"/>
      <c r="AG62" s="249" t="s">
        <v>110</v>
      </c>
      <c r="AH62" s="250" t="s">
        <v>64</v>
      </c>
      <c r="AI62" s="237"/>
      <c r="AJ62" s="249" t="s">
        <v>63</v>
      </c>
      <c r="AK62" s="237"/>
      <c r="AL62" s="249" t="s">
        <v>114</v>
      </c>
      <c r="AM62" s="237"/>
    </row>
    <row r="63" spans="1:39" ht="18" customHeight="1">
      <c r="A63" s="91" t="str">
        <f>IF(Zwischenwerte!B30=TRUE,"x","q ")</f>
        <v>q </v>
      </c>
      <c r="B63" s="215" t="s">
        <v>520</v>
      </c>
      <c r="J63" s="253" t="s">
        <v>20</v>
      </c>
      <c r="K63" s="91" t="s">
        <v>521</v>
      </c>
      <c r="M63" s="443">
        <f>Eingabe!L110</f>
        <v>-4</v>
      </c>
      <c r="N63" s="444"/>
      <c r="O63" s="93" t="s">
        <v>344</v>
      </c>
      <c r="P63" s="94">
        <f>Eingabe!O110+Eingabe!P110</f>
        <v>0</v>
      </c>
      <c r="Q63" s="37">
        <f>Klugheit_Mod</f>
        <v>-4</v>
      </c>
      <c r="R63" s="77" t="s">
        <v>345</v>
      </c>
      <c r="S63" s="37" t="str">
        <f>Eingabe!T110</f>
        <v>M</v>
      </c>
      <c r="T63" s="77" t="s">
        <v>345</v>
      </c>
      <c r="U63" s="37">
        <f>Eingabe!V110</f>
        <v>0</v>
      </c>
      <c r="W63" s="448" t="s">
        <v>511</v>
      </c>
      <c r="X63" s="448"/>
      <c r="Y63" s="448"/>
      <c r="Z63" s="448"/>
      <c r="AA63" s="448"/>
      <c r="AB63" s="448"/>
      <c r="AC63" s="448"/>
      <c r="AD63" s="451"/>
      <c r="AE63" s="451"/>
      <c r="AF63" s="96"/>
      <c r="AG63" s="87"/>
      <c r="AH63" s="87"/>
      <c r="AI63" s="87"/>
      <c r="AJ63" s="87"/>
      <c r="AK63" s="87"/>
      <c r="AL63" s="87"/>
      <c r="AM63" s="39"/>
    </row>
    <row r="64" spans="1:39" ht="3" customHeight="1">
      <c r="A64" s="91"/>
      <c r="B64" s="215"/>
      <c r="J64" s="253"/>
      <c r="K64" s="91"/>
      <c r="M64" s="97"/>
      <c r="N64" s="97"/>
      <c r="O64" s="93"/>
      <c r="P64" s="84"/>
      <c r="Q64" s="84"/>
      <c r="R64" s="77"/>
      <c r="S64" s="84"/>
      <c r="T64" s="77"/>
      <c r="U64" s="84"/>
      <c r="W64" s="95"/>
      <c r="X64" s="95"/>
      <c r="Y64" s="95"/>
      <c r="Z64" s="95"/>
      <c r="AA64" s="95"/>
      <c r="AB64" s="95"/>
      <c r="AC64" s="95"/>
      <c r="AD64" s="73"/>
      <c r="AE64" s="73"/>
      <c r="AF64" s="96"/>
      <c r="AG64" s="87"/>
      <c r="AH64" s="87"/>
      <c r="AI64" s="87"/>
      <c r="AJ64" s="87"/>
      <c r="AK64" s="87"/>
      <c r="AL64" s="87"/>
      <c r="AM64" s="39"/>
    </row>
    <row r="65" spans="1:40" ht="18" customHeight="1">
      <c r="A65" s="91" t="str">
        <f>IF(Zwischenwerte!B31=TRUE,"x","q ")</f>
        <v>q </v>
      </c>
      <c r="B65" s="215" t="s">
        <v>517</v>
      </c>
      <c r="J65" s="253" t="s">
        <v>240</v>
      </c>
      <c r="M65" s="456">
        <f>IF(P65&gt;0,Eingabe!L111,"")</f>
      </c>
      <c r="N65" s="444"/>
      <c r="O65" s="93" t="s">
        <v>344</v>
      </c>
      <c r="P65" s="94">
        <f>Eingabe!O111+Eingabe!P111</f>
        <v>0</v>
      </c>
      <c r="Q65" s="37">
        <f>Gewandheit_Mod</f>
        <v>-4</v>
      </c>
      <c r="R65" s="77" t="s">
        <v>345</v>
      </c>
      <c r="S65" s="37">
        <f>Eingabe!T111</f>
        <v>0</v>
      </c>
      <c r="T65" s="77" t="s">
        <v>345</v>
      </c>
      <c r="U65" s="37">
        <f>Eingabe!V111</f>
        <v>0</v>
      </c>
      <c r="V65" s="39"/>
      <c r="W65" s="449">
        <f>Eingabe!X111</f>
        <v>0</v>
      </c>
      <c r="X65" s="449"/>
      <c r="Y65" s="449"/>
      <c r="Z65" s="449"/>
      <c r="AA65" s="449"/>
      <c r="AB65" s="449"/>
      <c r="AC65" s="449"/>
      <c r="AD65" s="443">
        <f>IF(AG65&gt;0,Eingabe!AE111,"")</f>
      </c>
      <c r="AE65" s="444"/>
      <c r="AF65" s="96" t="s">
        <v>344</v>
      </c>
      <c r="AG65" s="94">
        <f>Eingabe!AH111+Eingabe!AI111</f>
        <v>0</v>
      </c>
      <c r="AH65" s="37">
        <f>Klugheit_Mod</f>
        <v>-4</v>
      </c>
      <c r="AI65" s="87" t="s">
        <v>345</v>
      </c>
      <c r="AJ65" s="37">
        <f>Eingabe!AM111</f>
        <v>0</v>
      </c>
      <c r="AK65" s="87" t="s">
        <v>345</v>
      </c>
      <c r="AL65" s="37">
        <f>Eingabe!AO111</f>
        <v>0</v>
      </c>
      <c r="AN65" s="98"/>
    </row>
    <row r="66" spans="1:40" ht="3" customHeight="1">
      <c r="A66" s="91"/>
      <c r="B66" s="215"/>
      <c r="J66" s="253"/>
      <c r="M66" s="455"/>
      <c r="N66" s="455"/>
      <c r="O66" s="93"/>
      <c r="P66" s="84"/>
      <c r="Q66" s="84"/>
      <c r="R66" s="77"/>
      <c r="S66" s="84"/>
      <c r="T66" s="77"/>
      <c r="U66" s="84"/>
      <c r="V66" s="39"/>
      <c r="W66" s="216"/>
      <c r="X66" s="216"/>
      <c r="Y66" s="216"/>
      <c r="Z66" s="216"/>
      <c r="AA66" s="216"/>
      <c r="AB66" s="216"/>
      <c r="AC66" s="216"/>
      <c r="AD66" s="97"/>
      <c r="AE66" s="97"/>
      <c r="AF66" s="96"/>
      <c r="AG66" s="84"/>
      <c r="AH66" s="84"/>
      <c r="AI66" s="87"/>
      <c r="AJ66" s="84"/>
      <c r="AK66" s="87"/>
      <c r="AL66" s="84"/>
      <c r="AN66" s="98"/>
    </row>
    <row r="67" spans="1:40" ht="18" customHeight="1">
      <c r="A67" s="91" t="str">
        <f>IF(Zwischenwerte!B32=TRUE,"x","q ")</f>
        <v>q </v>
      </c>
      <c r="B67" s="215" t="s">
        <v>498</v>
      </c>
      <c r="J67" s="253" t="s">
        <v>240</v>
      </c>
      <c r="K67" s="91" t="s">
        <v>521</v>
      </c>
      <c r="M67" s="443">
        <f>Eingabe!L112</f>
        <v>-4</v>
      </c>
      <c r="N67" s="444"/>
      <c r="O67" s="96" t="s">
        <v>344</v>
      </c>
      <c r="P67" s="94">
        <f>Eingabe!O112+Eingabe!P112</f>
        <v>0</v>
      </c>
      <c r="Q67" s="37">
        <f>Gewandheit_Mod</f>
        <v>-4</v>
      </c>
      <c r="R67" s="87" t="s">
        <v>345</v>
      </c>
      <c r="S67" s="37">
        <f>Eingabe!T112</f>
        <v>0</v>
      </c>
      <c r="T67" s="87" t="s">
        <v>345</v>
      </c>
      <c r="U67" s="37">
        <f>Eingabe!V112</f>
        <v>0</v>
      </c>
      <c r="V67" s="39"/>
      <c r="W67" s="449">
        <f>Eingabe!X112</f>
        <v>0</v>
      </c>
      <c r="X67" s="449"/>
      <c r="Y67" s="449"/>
      <c r="Z67" s="449"/>
      <c r="AA67" s="449"/>
      <c r="AB67" s="449"/>
      <c r="AC67" s="449"/>
      <c r="AD67" s="443">
        <f>IF(AG67&gt;0,Eingabe!AE112,"")</f>
      </c>
      <c r="AE67" s="444"/>
      <c r="AF67" s="96" t="s">
        <v>344</v>
      </c>
      <c r="AG67" s="94">
        <f>Eingabe!AH112+Eingabe!AI112</f>
        <v>0</v>
      </c>
      <c r="AH67" s="37">
        <f>Klugheit_Mod</f>
        <v>-4</v>
      </c>
      <c r="AI67" s="87" t="s">
        <v>345</v>
      </c>
      <c r="AJ67" s="37">
        <f>Eingabe!AM112</f>
        <v>0</v>
      </c>
      <c r="AK67" s="87" t="s">
        <v>345</v>
      </c>
      <c r="AL67" s="37">
        <f>Eingabe!AO112</f>
        <v>0</v>
      </c>
      <c r="AN67" s="98"/>
    </row>
    <row r="68" spans="1:40" ht="3" customHeight="1">
      <c r="A68" s="91"/>
      <c r="B68" s="215"/>
      <c r="J68" s="253"/>
      <c r="K68" s="91"/>
      <c r="M68" s="455"/>
      <c r="N68" s="455"/>
      <c r="O68" s="93"/>
      <c r="P68" s="84"/>
      <c r="Q68" s="84"/>
      <c r="R68" s="77"/>
      <c r="S68" s="84"/>
      <c r="T68" s="77"/>
      <c r="U68" s="84"/>
      <c r="V68" s="39"/>
      <c r="W68" s="301"/>
      <c r="X68" s="301"/>
      <c r="Y68" s="301"/>
      <c r="Z68" s="301"/>
      <c r="AA68" s="301"/>
      <c r="AB68" s="301"/>
      <c r="AC68" s="301"/>
      <c r="AD68" s="97"/>
      <c r="AE68" s="97"/>
      <c r="AF68" s="96"/>
      <c r="AG68" s="84"/>
      <c r="AH68" s="84"/>
      <c r="AI68" s="87"/>
      <c r="AJ68" s="84"/>
      <c r="AK68" s="87"/>
      <c r="AL68" s="84"/>
      <c r="AN68" s="98"/>
    </row>
    <row r="69" spans="1:40" ht="18" customHeight="1">
      <c r="A69" s="91" t="str">
        <f>IF(Zwischenwerte!B33=TRUE,"x","q ")</f>
        <v>q </v>
      </c>
      <c r="B69" s="215" t="s">
        <v>511</v>
      </c>
      <c r="J69" s="253" t="s">
        <v>21</v>
      </c>
      <c r="M69" s="455"/>
      <c r="N69" s="455"/>
      <c r="O69" s="96"/>
      <c r="P69" s="84"/>
      <c r="Q69" s="84"/>
      <c r="R69" s="87"/>
      <c r="S69" s="84"/>
      <c r="T69" s="87"/>
      <c r="U69" s="84"/>
      <c r="V69" s="39"/>
      <c r="W69" s="449">
        <f>Eingabe!X113</f>
        <v>0</v>
      </c>
      <c r="X69" s="449"/>
      <c r="Y69" s="449"/>
      <c r="Z69" s="449"/>
      <c r="AA69" s="449"/>
      <c r="AB69" s="449"/>
      <c r="AC69" s="449"/>
      <c r="AD69" s="443">
        <f>IF(AG69&gt;0,Eingabe!AE113,"")</f>
      </c>
      <c r="AE69" s="444"/>
      <c r="AF69" s="96" t="s">
        <v>344</v>
      </c>
      <c r="AG69" s="94">
        <f>Eingabe!AH113+Eingabe!AI113</f>
        <v>0</v>
      </c>
      <c r="AH69" s="37">
        <f>Klugheit_Mod</f>
        <v>-4</v>
      </c>
      <c r="AI69" s="87" t="s">
        <v>345</v>
      </c>
      <c r="AJ69" s="37">
        <f>Eingabe!AM113</f>
        <v>0</v>
      </c>
      <c r="AK69" s="87" t="s">
        <v>345</v>
      </c>
      <c r="AL69" s="37">
        <f>Eingabe!AO113</f>
        <v>0</v>
      </c>
      <c r="AN69" s="98"/>
    </row>
    <row r="70" spans="1:40" ht="3" customHeight="1">
      <c r="A70" s="91"/>
      <c r="B70" s="215"/>
      <c r="J70" s="253"/>
      <c r="M70" s="455"/>
      <c r="N70" s="455"/>
      <c r="O70" s="93"/>
      <c r="P70" s="84"/>
      <c r="Q70" s="84"/>
      <c r="R70" s="77"/>
      <c r="S70" s="84"/>
      <c r="T70" s="77"/>
      <c r="U70" s="84"/>
      <c r="V70" s="39"/>
      <c r="W70" s="39"/>
      <c r="X70" s="39"/>
      <c r="Y70" s="39"/>
      <c r="Z70" s="39"/>
      <c r="AA70" s="39"/>
      <c r="AB70" s="39"/>
      <c r="AC70" s="39"/>
      <c r="AD70" s="97"/>
      <c r="AE70" s="97"/>
      <c r="AF70" s="96"/>
      <c r="AG70" s="84"/>
      <c r="AH70" s="84"/>
      <c r="AI70" s="87"/>
      <c r="AJ70" s="84"/>
      <c r="AK70" s="87"/>
      <c r="AL70" s="84"/>
      <c r="AN70" s="98"/>
    </row>
    <row r="71" spans="1:38" ht="18" customHeight="1">
      <c r="A71" s="91" t="str">
        <f>IF(Zwischenwerte!B34=TRUE,"x","q ")</f>
        <v>q </v>
      </c>
      <c r="B71" s="215" t="s">
        <v>499</v>
      </c>
      <c r="J71" s="253" t="s">
        <v>23</v>
      </c>
      <c r="K71" s="91" t="s">
        <v>521</v>
      </c>
      <c r="L71" s="91" t="s">
        <v>522</v>
      </c>
      <c r="M71" s="443">
        <f>Eingabe!L114</f>
        <v>-4</v>
      </c>
      <c r="N71" s="444"/>
      <c r="O71" s="96" t="s">
        <v>344</v>
      </c>
      <c r="P71" s="94">
        <f>Eingabe!O114+Eingabe!P114</f>
        <v>0</v>
      </c>
      <c r="Q71" s="94">
        <f>$J$31</f>
        <v>-4</v>
      </c>
      <c r="R71" s="87" t="s">
        <v>345</v>
      </c>
      <c r="S71" s="37">
        <f>Eingabe!T114</f>
        <v>0</v>
      </c>
      <c r="T71" s="87" t="s">
        <v>345</v>
      </c>
      <c r="U71" s="37">
        <f>Eingabe!V114</f>
        <v>0</v>
      </c>
      <c r="V71" s="39"/>
      <c r="W71" s="450"/>
      <c r="X71" s="450"/>
      <c r="Y71" s="450"/>
      <c r="Z71" s="450"/>
      <c r="AA71" s="450"/>
      <c r="AB71" s="450"/>
      <c r="AC71" s="450"/>
      <c r="AD71" s="451"/>
      <c r="AE71" s="451"/>
      <c r="AF71" s="96"/>
      <c r="AG71" s="87"/>
      <c r="AH71" s="87"/>
      <c r="AI71" s="87"/>
      <c r="AJ71" s="87"/>
      <c r="AK71" s="87"/>
      <c r="AL71" s="87"/>
    </row>
    <row r="72" spans="1:38" ht="3" customHeight="1">
      <c r="A72" s="91"/>
      <c r="B72" s="215"/>
      <c r="J72" s="253"/>
      <c r="K72" s="91"/>
      <c r="L72" s="91"/>
      <c r="M72" s="455"/>
      <c r="N72" s="455"/>
      <c r="O72" s="93"/>
      <c r="P72" s="84"/>
      <c r="Q72" s="84"/>
      <c r="R72" s="77"/>
      <c r="S72" s="84"/>
      <c r="T72" s="77"/>
      <c r="U72" s="84"/>
      <c r="V72" s="39"/>
      <c r="W72" s="39"/>
      <c r="X72" s="39"/>
      <c r="Y72" s="39"/>
      <c r="Z72" s="39"/>
      <c r="AA72" s="39"/>
      <c r="AB72" s="39"/>
      <c r="AC72" s="39"/>
      <c r="AD72" s="73"/>
      <c r="AE72" s="73"/>
      <c r="AF72" s="96"/>
      <c r="AG72" s="87"/>
      <c r="AH72" s="87"/>
      <c r="AI72" s="87"/>
      <c r="AJ72" s="87"/>
      <c r="AK72" s="87"/>
      <c r="AL72" s="87"/>
    </row>
    <row r="73" spans="1:38" ht="18" customHeight="1">
      <c r="A73" s="91" t="str">
        <f>IF(Zwischenwerte!B35=TRUE,"x","q ")</f>
        <v>q </v>
      </c>
      <c r="B73" s="215" t="s">
        <v>502</v>
      </c>
      <c r="J73" s="253" t="s">
        <v>23</v>
      </c>
      <c r="K73" s="91" t="s">
        <v>521</v>
      </c>
      <c r="L73" s="91" t="s">
        <v>522</v>
      </c>
      <c r="M73" s="443">
        <f>Eingabe!L115</f>
        <v>-4</v>
      </c>
      <c r="N73" s="444"/>
      <c r="O73" s="96" t="s">
        <v>344</v>
      </c>
      <c r="P73" s="94">
        <f>Eingabe!O115+Eingabe!P115</f>
        <v>0</v>
      </c>
      <c r="Q73" s="94">
        <f>$J$31</f>
        <v>-4</v>
      </c>
      <c r="R73" s="87" t="s">
        <v>345</v>
      </c>
      <c r="S73" s="37">
        <f>Eingabe!T115</f>
        <v>0</v>
      </c>
      <c r="T73" s="87" t="s">
        <v>345</v>
      </c>
      <c r="U73" s="37">
        <f>Eingabe!V115</f>
        <v>0</v>
      </c>
      <c r="V73" s="39"/>
      <c r="W73" s="448" t="s">
        <v>501</v>
      </c>
      <c r="X73" s="448"/>
      <c r="Y73" s="448"/>
      <c r="Z73" s="448"/>
      <c r="AA73" s="448"/>
      <c r="AB73" s="448"/>
      <c r="AC73" s="448"/>
      <c r="AD73" s="451"/>
      <c r="AE73" s="451"/>
      <c r="AF73" s="96"/>
      <c r="AG73" s="87"/>
      <c r="AH73" s="87"/>
      <c r="AI73" s="87"/>
      <c r="AJ73" s="87"/>
      <c r="AK73" s="87"/>
      <c r="AL73" s="87"/>
    </row>
    <row r="74" spans="1:38" ht="3" customHeight="1">
      <c r="A74" s="91"/>
      <c r="B74" s="215"/>
      <c r="J74" s="253"/>
      <c r="K74" s="91"/>
      <c r="L74" s="91"/>
      <c r="M74" s="455"/>
      <c r="N74" s="455"/>
      <c r="O74" s="93"/>
      <c r="P74" s="84"/>
      <c r="Q74" s="84"/>
      <c r="R74" s="77"/>
      <c r="S74" s="84"/>
      <c r="T74" s="77"/>
      <c r="U74" s="84"/>
      <c r="V74" s="39"/>
      <c r="W74" s="95"/>
      <c r="X74" s="95"/>
      <c r="Y74" s="95"/>
      <c r="Z74" s="95"/>
      <c r="AA74" s="95"/>
      <c r="AB74" s="95"/>
      <c r="AC74" s="95"/>
      <c r="AD74" s="73"/>
      <c r="AE74" s="73"/>
      <c r="AF74" s="96"/>
      <c r="AG74" s="87"/>
      <c r="AH74" s="87"/>
      <c r="AI74" s="87"/>
      <c r="AJ74" s="87"/>
      <c r="AK74" s="87"/>
      <c r="AL74" s="87"/>
    </row>
    <row r="75" spans="1:38" ht="18" customHeight="1">
      <c r="A75" s="91" t="str">
        <f>IF(Zwischenwerte!B36=TRUE,"x","q ")</f>
        <v>q </v>
      </c>
      <c r="B75" s="215" t="s">
        <v>506</v>
      </c>
      <c r="J75" s="253" t="s">
        <v>23</v>
      </c>
      <c r="K75" s="91" t="s">
        <v>521</v>
      </c>
      <c r="L75" s="91" t="s">
        <v>522</v>
      </c>
      <c r="M75" s="443">
        <f>Eingabe!L116</f>
        <v>-4</v>
      </c>
      <c r="N75" s="444"/>
      <c r="O75" s="96" t="s">
        <v>344</v>
      </c>
      <c r="P75" s="94">
        <f>Eingabe!O116+Eingabe!P116</f>
        <v>0</v>
      </c>
      <c r="Q75" s="94">
        <f>$J$31</f>
        <v>-4</v>
      </c>
      <c r="R75" s="87" t="s">
        <v>345</v>
      </c>
      <c r="S75" s="37">
        <f>Eingabe!T116</f>
        <v>0</v>
      </c>
      <c r="T75" s="87" t="s">
        <v>345</v>
      </c>
      <c r="U75" s="37">
        <f>Eingabe!V116</f>
        <v>0</v>
      </c>
      <c r="V75" s="39"/>
      <c r="W75" s="449">
        <f>Eingabe!X116</f>
        <v>0</v>
      </c>
      <c r="X75" s="449"/>
      <c r="Y75" s="449"/>
      <c r="Z75" s="449"/>
      <c r="AA75" s="449"/>
      <c r="AB75" s="449"/>
      <c r="AC75" s="449"/>
      <c r="AD75" s="443">
        <f>IF(AG75&gt;0,Eingabe!AE116,"")</f>
      </c>
      <c r="AE75" s="444"/>
      <c r="AF75" s="96" t="s">
        <v>344</v>
      </c>
      <c r="AG75" s="94">
        <f>Eingabe!AH116+Eingabe!AI116</f>
        <v>0</v>
      </c>
      <c r="AH75" s="37">
        <f>Klugheit_Mod</f>
        <v>-4</v>
      </c>
      <c r="AI75" s="87" t="s">
        <v>345</v>
      </c>
      <c r="AJ75" s="37">
        <f>Eingabe!AM116</f>
        <v>0</v>
      </c>
      <c r="AK75" s="87" t="s">
        <v>345</v>
      </c>
      <c r="AL75" s="37">
        <f>Eingabe!AO116</f>
        <v>0</v>
      </c>
    </row>
    <row r="76" spans="1:38" ht="3" customHeight="1">
      <c r="A76" s="91"/>
      <c r="B76" s="215"/>
      <c r="J76" s="253"/>
      <c r="K76" s="91"/>
      <c r="L76" s="91"/>
      <c r="M76" s="455"/>
      <c r="N76" s="455"/>
      <c r="O76" s="93"/>
      <c r="P76" s="84"/>
      <c r="Q76" s="84"/>
      <c r="R76" s="77"/>
      <c r="S76" s="84"/>
      <c r="T76" s="77"/>
      <c r="U76" s="84"/>
      <c r="V76" s="39"/>
      <c r="W76" s="216"/>
      <c r="X76" s="216"/>
      <c r="Y76" s="216"/>
      <c r="Z76" s="216"/>
      <c r="AA76" s="216"/>
      <c r="AB76" s="216"/>
      <c r="AC76" s="216"/>
      <c r="AD76" s="97"/>
      <c r="AE76" s="97"/>
      <c r="AF76" s="96"/>
      <c r="AG76" s="84"/>
      <c r="AH76" s="37"/>
      <c r="AI76" s="87"/>
      <c r="AJ76" s="84"/>
      <c r="AK76" s="87"/>
      <c r="AL76" s="84"/>
    </row>
    <row r="77" spans="1:38" ht="18" customHeight="1">
      <c r="A77" s="91" t="str">
        <f>IF(Zwischenwerte!B37=TRUE,"x","q ")</f>
        <v>q </v>
      </c>
      <c r="B77" s="215" t="s">
        <v>515</v>
      </c>
      <c r="J77" s="253" t="s">
        <v>21</v>
      </c>
      <c r="K77" s="91" t="s">
        <v>521</v>
      </c>
      <c r="M77" s="443">
        <f>Eingabe!L117</f>
        <v>-4</v>
      </c>
      <c r="N77" s="444"/>
      <c r="O77" s="96" t="s">
        <v>344</v>
      </c>
      <c r="P77" s="94">
        <f>Eingabe!O117+Eingabe!P117</f>
        <v>0</v>
      </c>
      <c r="Q77" s="37">
        <f>Weisheit_Mod</f>
        <v>-4</v>
      </c>
      <c r="R77" s="87" t="s">
        <v>345</v>
      </c>
      <c r="S77" s="37">
        <f>Eingabe!T117</f>
        <v>0</v>
      </c>
      <c r="T77" s="87" t="s">
        <v>345</v>
      </c>
      <c r="U77" s="37">
        <f>Eingabe!V117</f>
        <v>0</v>
      </c>
      <c r="V77" s="39"/>
      <c r="W77" s="449">
        <f>Eingabe!X117</f>
        <v>0</v>
      </c>
      <c r="X77" s="449"/>
      <c r="Y77" s="449"/>
      <c r="Z77" s="449"/>
      <c r="AA77" s="449"/>
      <c r="AB77" s="449"/>
      <c r="AC77" s="449"/>
      <c r="AD77" s="443">
        <f>IF(AG77&gt;0,Eingabe!AE117,"")</f>
      </c>
      <c r="AE77" s="444"/>
      <c r="AF77" s="96" t="s">
        <v>344</v>
      </c>
      <c r="AG77" s="94">
        <f>Eingabe!AH117+Eingabe!AI117</f>
        <v>0</v>
      </c>
      <c r="AH77" s="37">
        <f>Klugheit_Mod</f>
        <v>-4</v>
      </c>
      <c r="AI77" s="87" t="s">
        <v>345</v>
      </c>
      <c r="AJ77" s="37">
        <f>Eingabe!AM117</f>
        <v>0</v>
      </c>
      <c r="AK77" s="87" t="s">
        <v>345</v>
      </c>
      <c r="AL77" s="37">
        <f>Eingabe!AO117</f>
        <v>0</v>
      </c>
    </row>
    <row r="78" spans="1:38" ht="3" customHeight="1">
      <c r="A78" s="91"/>
      <c r="B78" s="215"/>
      <c r="J78" s="253"/>
      <c r="K78" s="91"/>
      <c r="M78" s="455"/>
      <c r="N78" s="455"/>
      <c r="O78" s="93"/>
      <c r="P78" s="84"/>
      <c r="Q78" s="84"/>
      <c r="R78" s="77"/>
      <c r="S78" s="84"/>
      <c r="T78" s="77"/>
      <c r="U78" s="84"/>
      <c r="V78" s="39"/>
      <c r="W78" s="301"/>
      <c r="X78" s="301"/>
      <c r="Y78" s="301"/>
      <c r="Z78" s="301"/>
      <c r="AA78" s="301"/>
      <c r="AB78" s="301"/>
      <c r="AC78" s="301"/>
      <c r="AD78" s="97"/>
      <c r="AE78" s="97"/>
      <c r="AF78" s="96"/>
      <c r="AG78" s="84"/>
      <c r="AH78" s="84"/>
      <c r="AI78" s="87"/>
      <c r="AJ78" s="84"/>
      <c r="AK78" s="87"/>
      <c r="AL78" s="84"/>
    </row>
    <row r="79" spans="1:38" ht="18" customHeight="1">
      <c r="A79" s="91" t="str">
        <f>IF(Zwischenwerte!B38=TRUE,"x","q ")</f>
        <v>q </v>
      </c>
      <c r="B79" s="215" t="s">
        <v>102</v>
      </c>
      <c r="J79" s="253" t="s">
        <v>240</v>
      </c>
      <c r="K79" s="91" t="s">
        <v>521</v>
      </c>
      <c r="M79" s="443">
        <f>Eingabe!L118</f>
        <v>-4</v>
      </c>
      <c r="N79" s="444"/>
      <c r="O79" s="96" t="s">
        <v>344</v>
      </c>
      <c r="P79" s="94">
        <f>Eingabe!O118+Eingabe!P118</f>
        <v>0</v>
      </c>
      <c r="Q79" s="37">
        <f>Gewandheit_Mod</f>
        <v>-4</v>
      </c>
      <c r="R79" s="87" t="s">
        <v>345</v>
      </c>
      <c r="S79" s="37">
        <f>Eingabe!T118</f>
        <v>0</v>
      </c>
      <c r="T79" s="87" t="s">
        <v>345</v>
      </c>
      <c r="U79" s="37">
        <f>Eingabe!V118</f>
        <v>0</v>
      </c>
      <c r="V79" s="39"/>
      <c r="W79" s="449">
        <f>Eingabe!X118</f>
        <v>0</v>
      </c>
      <c r="X79" s="449"/>
      <c r="Y79" s="449"/>
      <c r="Z79" s="449"/>
      <c r="AA79" s="449"/>
      <c r="AB79" s="449"/>
      <c r="AC79" s="449"/>
      <c r="AD79" s="443">
        <f>IF(AG79&gt;0,Eingabe!AE118,"")</f>
      </c>
      <c r="AE79" s="444"/>
      <c r="AF79" s="96" t="s">
        <v>344</v>
      </c>
      <c r="AG79" s="94">
        <f>Eingabe!AH118+Eingabe!AI118</f>
        <v>0</v>
      </c>
      <c r="AH79" s="37">
        <f>Klugheit_Mod</f>
        <v>-4</v>
      </c>
      <c r="AI79" s="87" t="s">
        <v>345</v>
      </c>
      <c r="AJ79" s="37">
        <f>Eingabe!AM118</f>
        <v>0</v>
      </c>
      <c r="AK79" s="87" t="s">
        <v>345</v>
      </c>
      <c r="AL79" s="37">
        <f>Eingabe!AO118</f>
        <v>0</v>
      </c>
    </row>
    <row r="80" spans="1:38" ht="3" customHeight="1">
      <c r="A80" s="91"/>
      <c r="B80" s="215"/>
      <c r="J80" s="253"/>
      <c r="K80" s="91"/>
      <c r="M80" s="455"/>
      <c r="N80" s="455"/>
      <c r="O80" s="93"/>
      <c r="P80" s="84"/>
      <c r="Q80" s="84"/>
      <c r="R80" s="77"/>
      <c r="S80" s="84"/>
      <c r="T80" s="77"/>
      <c r="U80" s="84"/>
      <c r="V80" s="39"/>
      <c r="W80" s="39"/>
      <c r="X80" s="39"/>
      <c r="Y80" s="39"/>
      <c r="Z80" s="39"/>
      <c r="AA80" s="39"/>
      <c r="AB80" s="39"/>
      <c r="AC80" s="39"/>
      <c r="AD80" s="97"/>
      <c r="AE80" s="97"/>
      <c r="AF80" s="96"/>
      <c r="AG80" s="84"/>
      <c r="AH80" s="84"/>
      <c r="AI80" s="87"/>
      <c r="AJ80" s="84"/>
      <c r="AK80" s="87"/>
      <c r="AL80" s="84"/>
    </row>
    <row r="81" spans="1:38" ht="18" customHeight="1">
      <c r="A81" s="91" t="str">
        <f>IF(Zwischenwerte!B39=TRUE,"x","q ")</f>
        <v>q </v>
      </c>
      <c r="B81" s="215" t="s">
        <v>22</v>
      </c>
      <c r="J81" s="253" t="s">
        <v>21</v>
      </c>
      <c r="K81" s="91" t="s">
        <v>521</v>
      </c>
      <c r="M81" s="443">
        <f>Eingabe!L119</f>
        <v>-4</v>
      </c>
      <c r="N81" s="444"/>
      <c r="O81" s="96" t="s">
        <v>344</v>
      </c>
      <c r="P81" s="94">
        <f>Eingabe!O119+Eingabe!P119</f>
        <v>0</v>
      </c>
      <c r="Q81" s="37">
        <f>Weisheit_Mod</f>
        <v>-4</v>
      </c>
      <c r="R81" s="87" t="s">
        <v>345</v>
      </c>
      <c r="S81" s="37">
        <f>Eingabe!T119</f>
        <v>0</v>
      </c>
      <c r="T81" s="87" t="s">
        <v>345</v>
      </c>
      <c r="U81" s="37">
        <f>Eingabe!V119</f>
        <v>0</v>
      </c>
      <c r="V81" s="39"/>
      <c r="W81" s="450"/>
      <c r="X81" s="450"/>
      <c r="Y81" s="450"/>
      <c r="Z81" s="450"/>
      <c r="AA81" s="450"/>
      <c r="AB81" s="450"/>
      <c r="AC81" s="450"/>
      <c r="AD81" s="451"/>
      <c r="AE81" s="451"/>
      <c r="AF81" s="96"/>
      <c r="AG81" s="87"/>
      <c r="AH81" s="87"/>
      <c r="AI81" s="87"/>
      <c r="AJ81" s="87"/>
      <c r="AK81" s="87"/>
      <c r="AL81" s="87"/>
    </row>
    <row r="82" spans="1:38" ht="3" customHeight="1">
      <c r="A82" s="91"/>
      <c r="B82" s="215"/>
      <c r="J82" s="253"/>
      <c r="K82" s="91"/>
      <c r="M82" s="455"/>
      <c r="N82" s="455"/>
      <c r="O82" s="93"/>
      <c r="P82" s="84"/>
      <c r="Q82" s="84"/>
      <c r="R82" s="77"/>
      <c r="S82" s="84"/>
      <c r="T82" s="77"/>
      <c r="U82" s="84"/>
      <c r="V82" s="39"/>
      <c r="W82" s="39"/>
      <c r="X82" s="39"/>
      <c r="Y82" s="39"/>
      <c r="Z82" s="39"/>
      <c r="AA82" s="39"/>
      <c r="AB82" s="39"/>
      <c r="AC82" s="39"/>
      <c r="AD82" s="73"/>
      <c r="AE82" s="73"/>
      <c r="AF82" s="96"/>
      <c r="AG82" s="87"/>
      <c r="AH82" s="87"/>
      <c r="AI82" s="87"/>
      <c r="AJ82" s="87"/>
      <c r="AK82" s="87"/>
      <c r="AL82" s="87"/>
    </row>
    <row r="83" spans="1:38" ht="18" customHeight="1">
      <c r="A83" s="91" t="str">
        <f>IF(Zwischenwerte!B40=TRUE,"x","q ")</f>
        <v>q </v>
      </c>
      <c r="B83" s="215" t="s">
        <v>504</v>
      </c>
      <c r="J83" s="253" t="s">
        <v>20</v>
      </c>
      <c r="K83" s="91" t="s">
        <v>521</v>
      </c>
      <c r="M83" s="443">
        <f>Eingabe!L120</f>
        <v>-4</v>
      </c>
      <c r="N83" s="444"/>
      <c r="O83" s="96" t="s">
        <v>344</v>
      </c>
      <c r="P83" s="94">
        <f>Eingabe!O120+Eingabe!P120</f>
        <v>0</v>
      </c>
      <c r="Q83" s="37">
        <f>Klugheit_Mod</f>
        <v>-4</v>
      </c>
      <c r="R83" s="87" t="s">
        <v>345</v>
      </c>
      <c r="S83" s="37">
        <f>Eingabe!T120</f>
        <v>0</v>
      </c>
      <c r="T83" s="87" t="s">
        <v>345</v>
      </c>
      <c r="U83" s="37">
        <f>Eingabe!V120</f>
        <v>0</v>
      </c>
      <c r="V83" s="39"/>
      <c r="W83" s="448" t="s">
        <v>527</v>
      </c>
      <c r="X83" s="448"/>
      <c r="Y83" s="448"/>
      <c r="Z83" s="448"/>
      <c r="AA83" s="448"/>
      <c r="AB83" s="448"/>
      <c r="AC83" s="448"/>
      <c r="AD83" s="39"/>
      <c r="AE83" s="39"/>
      <c r="AF83" s="451"/>
      <c r="AG83" s="451"/>
      <c r="AH83" s="96"/>
      <c r="AI83" s="39"/>
      <c r="AJ83" s="39"/>
      <c r="AK83" s="39"/>
      <c r="AL83" s="39"/>
    </row>
    <row r="84" spans="1:38" ht="3" customHeight="1">
      <c r="A84" s="91"/>
      <c r="B84" s="215"/>
      <c r="J84" s="253"/>
      <c r="K84" s="91"/>
      <c r="M84" s="455"/>
      <c r="N84" s="455"/>
      <c r="O84" s="93"/>
      <c r="P84" s="84"/>
      <c r="Q84" s="84"/>
      <c r="R84" s="77"/>
      <c r="S84" s="84"/>
      <c r="T84" s="77"/>
      <c r="U84" s="84"/>
      <c r="V84" s="39"/>
      <c r="W84" s="95"/>
      <c r="X84" s="95"/>
      <c r="Y84" s="95"/>
      <c r="Z84" s="95"/>
      <c r="AA84" s="95"/>
      <c r="AB84" s="95"/>
      <c r="AC84" s="95"/>
      <c r="AD84" s="39"/>
      <c r="AE84" s="39"/>
      <c r="AF84" s="73"/>
      <c r="AG84" s="73"/>
      <c r="AH84" s="96"/>
      <c r="AI84" s="39"/>
      <c r="AJ84" s="39"/>
      <c r="AK84" s="39"/>
      <c r="AL84" s="39"/>
    </row>
    <row r="85" spans="1:38" ht="18" customHeight="1">
      <c r="A85" s="91" t="str">
        <f>IF(Zwischenwerte!B41=TRUE,"x","q ")</f>
        <v>q </v>
      </c>
      <c r="B85" s="215" t="s">
        <v>501</v>
      </c>
      <c r="J85" s="253" t="s">
        <v>20</v>
      </c>
      <c r="K85" s="91" t="s">
        <v>521</v>
      </c>
      <c r="M85" s="451"/>
      <c r="N85" s="451"/>
      <c r="O85" s="96"/>
      <c r="P85" s="87"/>
      <c r="Q85" s="87"/>
      <c r="R85" s="87"/>
      <c r="S85" s="87"/>
      <c r="T85" s="87"/>
      <c r="U85" s="87"/>
      <c r="V85" s="39"/>
      <c r="W85" s="449" t="str">
        <f>INDEX(Zwischenwerte!$A$472:$A$481,Zwischenwerte!$A483,1)</f>
        <v>Keine</v>
      </c>
      <c r="X85" s="449"/>
      <c r="Y85" s="449"/>
      <c r="Z85" s="449"/>
      <c r="AA85" s="449"/>
      <c r="AB85" s="449"/>
      <c r="AC85" s="449"/>
      <c r="AD85" s="443">
        <f>IF(AG85&gt;0,Eingabe!AE121,"")</f>
      </c>
      <c r="AE85" s="444"/>
      <c r="AF85" s="96" t="s">
        <v>344</v>
      </c>
      <c r="AG85" s="94">
        <f>Eingabe!AH121+Eingabe!AI121</f>
        <v>0</v>
      </c>
      <c r="AH85" s="94">
        <f>$J$31</f>
        <v>-4</v>
      </c>
      <c r="AI85" s="87" t="s">
        <v>345</v>
      </c>
      <c r="AJ85" s="37">
        <f>Eingabe!AM121</f>
        <v>0</v>
      </c>
      <c r="AK85" s="87" t="s">
        <v>345</v>
      </c>
      <c r="AL85" s="37">
        <f>Eingabe!AO121</f>
        <v>0</v>
      </c>
    </row>
    <row r="86" spans="1:38" ht="3" customHeight="1">
      <c r="A86" s="91"/>
      <c r="B86" s="215"/>
      <c r="J86" s="253"/>
      <c r="K86" s="91"/>
      <c r="M86" s="73"/>
      <c r="N86" s="73"/>
      <c r="O86" s="96"/>
      <c r="P86" s="87"/>
      <c r="Q86" s="87"/>
      <c r="R86" s="87"/>
      <c r="S86" s="87"/>
      <c r="T86" s="87"/>
      <c r="U86" s="87"/>
      <c r="V86" s="39"/>
      <c r="W86" s="39"/>
      <c r="X86" s="39"/>
      <c r="Y86" s="39"/>
      <c r="Z86" s="39"/>
      <c r="AA86" s="39"/>
      <c r="AB86" s="39"/>
      <c r="AC86" s="39"/>
      <c r="AD86" s="97"/>
      <c r="AE86" s="97"/>
      <c r="AF86" s="96"/>
      <c r="AG86" s="84"/>
      <c r="AH86" s="84"/>
      <c r="AI86" s="87"/>
      <c r="AJ86" s="84"/>
      <c r="AK86" s="87"/>
      <c r="AL86" s="84"/>
    </row>
    <row r="87" spans="1:38" ht="18" customHeight="1">
      <c r="A87" s="91" t="str">
        <f>IF(Zwischenwerte!B42=TRUE,"x","q ")</f>
        <v>q </v>
      </c>
      <c r="B87" s="215" t="s">
        <v>500</v>
      </c>
      <c r="J87" s="253" t="s">
        <v>24</v>
      </c>
      <c r="K87" s="91" t="s">
        <v>521</v>
      </c>
      <c r="M87" s="443">
        <f>Eingabe!L122</f>
        <v>-4</v>
      </c>
      <c r="N87" s="444"/>
      <c r="O87" s="96" t="s">
        <v>344</v>
      </c>
      <c r="P87" s="94">
        <f>Eingabe!O122+Eingabe!P122</f>
        <v>0</v>
      </c>
      <c r="Q87" s="37">
        <f>Stärke_Mod</f>
        <v>-4</v>
      </c>
      <c r="R87" s="87" t="s">
        <v>345</v>
      </c>
      <c r="S87" s="37">
        <f>Eingabe!T122</f>
        <v>0</v>
      </c>
      <c r="T87" s="87" t="s">
        <v>345</v>
      </c>
      <c r="U87" s="37">
        <f>Eingabe!V122</f>
        <v>0</v>
      </c>
      <c r="V87" s="39"/>
      <c r="W87" s="449" t="str">
        <f>INDEX(Zwischenwerte!$A$472:$A$481,Zwischenwerte!$A484,1)</f>
        <v>Keine</v>
      </c>
      <c r="X87" s="449"/>
      <c r="Y87" s="449"/>
      <c r="Z87" s="449"/>
      <c r="AA87" s="449"/>
      <c r="AB87" s="449"/>
      <c r="AC87" s="449"/>
      <c r="AD87" s="443">
        <f>IF(AG87&gt;0,Eingabe!AE122,"")</f>
      </c>
      <c r="AE87" s="444"/>
      <c r="AF87" s="96" t="s">
        <v>344</v>
      </c>
      <c r="AG87" s="94">
        <f>Eingabe!AH122+Eingabe!AI122</f>
        <v>0</v>
      </c>
      <c r="AH87" s="94">
        <f>$J$31</f>
        <v>-4</v>
      </c>
      <c r="AI87" s="87" t="s">
        <v>345</v>
      </c>
      <c r="AJ87" s="37">
        <f>Eingabe!AM122</f>
        <v>0</v>
      </c>
      <c r="AK87" s="87" t="s">
        <v>345</v>
      </c>
      <c r="AL87" s="37">
        <f>Eingabe!AO122</f>
        <v>0</v>
      </c>
    </row>
    <row r="88" spans="1:38" ht="3" customHeight="1">
      <c r="A88" s="91"/>
      <c r="B88" s="215"/>
      <c r="J88" s="253"/>
      <c r="K88" s="91"/>
      <c r="M88" s="97"/>
      <c r="N88" s="97"/>
      <c r="O88" s="96"/>
      <c r="P88" s="84"/>
      <c r="Q88" s="84"/>
      <c r="R88" s="87"/>
      <c r="S88" s="84"/>
      <c r="T88" s="87"/>
      <c r="U88" s="84"/>
      <c r="V88" s="39"/>
      <c r="W88" s="99"/>
      <c r="X88" s="99"/>
      <c r="Y88" s="99"/>
      <c r="Z88" s="99"/>
      <c r="AA88" s="99"/>
      <c r="AB88" s="99"/>
      <c r="AC88" s="99"/>
      <c r="AD88" s="97"/>
      <c r="AE88" s="97"/>
      <c r="AF88" s="96"/>
      <c r="AG88" s="84"/>
      <c r="AH88" s="84"/>
      <c r="AI88" s="87"/>
      <c r="AJ88" s="84"/>
      <c r="AK88" s="87"/>
      <c r="AL88" s="84"/>
    </row>
    <row r="89" spans="1:38" ht="18" customHeight="1">
      <c r="A89" s="91" t="str">
        <f>IF(Zwischenwerte!B43=TRUE,"x","q ")</f>
        <v>q </v>
      </c>
      <c r="B89" s="215" t="s">
        <v>79</v>
      </c>
      <c r="J89" s="253" t="s">
        <v>25</v>
      </c>
      <c r="K89" s="91" t="s">
        <v>521</v>
      </c>
      <c r="M89" s="443">
        <f>Eingabe!L123</f>
        <v>-4</v>
      </c>
      <c r="N89" s="444"/>
      <c r="O89" s="96" t="s">
        <v>344</v>
      </c>
      <c r="P89" s="94">
        <f>Eingabe!O123+Eingabe!P123</f>
        <v>0</v>
      </c>
      <c r="Q89" s="37">
        <f>Konstitution_Mod</f>
        <v>-4</v>
      </c>
      <c r="R89" s="87" t="s">
        <v>345</v>
      </c>
      <c r="S89" s="37">
        <f>Eingabe!T123</f>
        <v>0</v>
      </c>
      <c r="T89" s="87" t="s">
        <v>345</v>
      </c>
      <c r="U89" s="37">
        <f>Eingabe!V123</f>
        <v>0</v>
      </c>
      <c r="V89" s="39"/>
      <c r="W89" s="449" t="str">
        <f>INDEX(Zwischenwerte!$A$472:$A$481,Zwischenwerte!$A485,1)</f>
        <v>Keine</v>
      </c>
      <c r="X89" s="449"/>
      <c r="Y89" s="449"/>
      <c r="Z89" s="449"/>
      <c r="AA89" s="449"/>
      <c r="AB89" s="449"/>
      <c r="AC89" s="449"/>
      <c r="AD89" s="443">
        <f>IF(AG89&gt;0,Eingabe!AE123,"")</f>
      </c>
      <c r="AE89" s="444"/>
      <c r="AF89" s="96" t="s">
        <v>344</v>
      </c>
      <c r="AG89" s="94">
        <f>Eingabe!AH123+Eingabe!AI123</f>
        <v>0</v>
      </c>
      <c r="AH89" s="94">
        <f>$J$31</f>
        <v>-4</v>
      </c>
      <c r="AI89" s="87" t="s">
        <v>345</v>
      </c>
      <c r="AJ89" s="37">
        <f>Eingabe!AM123</f>
        <v>0</v>
      </c>
      <c r="AK89" s="87" t="s">
        <v>345</v>
      </c>
      <c r="AL89" s="37">
        <f>Eingabe!AO123</f>
        <v>0</v>
      </c>
    </row>
    <row r="90" spans="1:38" ht="3" customHeight="1">
      <c r="A90" s="91"/>
      <c r="B90" s="215"/>
      <c r="J90" s="253"/>
      <c r="K90" s="91"/>
      <c r="M90" s="97"/>
      <c r="N90" s="97"/>
      <c r="O90" s="96"/>
      <c r="P90" s="84"/>
      <c r="Q90" s="84"/>
      <c r="R90" s="87"/>
      <c r="S90" s="84"/>
      <c r="T90" s="87"/>
      <c r="U90" s="84"/>
      <c r="V90" s="39"/>
      <c r="W90" s="39"/>
      <c r="X90" s="39"/>
      <c r="Y90" s="39"/>
      <c r="Z90" s="39"/>
      <c r="AA90" s="39"/>
      <c r="AB90" s="39"/>
      <c r="AC90" s="39"/>
      <c r="AD90" s="97"/>
      <c r="AE90" s="97"/>
      <c r="AF90" s="96"/>
      <c r="AG90" s="84"/>
      <c r="AH90" s="84"/>
      <c r="AI90" s="87"/>
      <c r="AJ90" s="84"/>
      <c r="AK90" s="87"/>
      <c r="AL90" s="84"/>
    </row>
    <row r="91" spans="1:38" ht="18" customHeight="1">
      <c r="A91" s="91" t="str">
        <f>IF(Zwischenwerte!B44=TRUE,"x","q ")</f>
        <v>q </v>
      </c>
      <c r="B91" s="215" t="s">
        <v>509</v>
      </c>
      <c r="J91" s="253" t="s">
        <v>21</v>
      </c>
      <c r="K91" s="91" t="s">
        <v>521</v>
      </c>
      <c r="M91" s="443">
        <f>Eingabe!L124</f>
        <v>-4</v>
      </c>
      <c r="N91" s="444"/>
      <c r="O91" s="96" t="s">
        <v>344</v>
      </c>
      <c r="P91" s="94">
        <f>Eingabe!O124+Eingabe!P124</f>
        <v>0</v>
      </c>
      <c r="Q91" s="37">
        <f>Weisheit_Mod</f>
        <v>-4</v>
      </c>
      <c r="R91" s="87" t="s">
        <v>345</v>
      </c>
      <c r="S91" s="37">
        <f>Eingabe!T124</f>
        <v>0</v>
      </c>
      <c r="T91" s="87" t="s">
        <v>345</v>
      </c>
      <c r="U91" s="37">
        <f>Eingabe!V124</f>
        <v>0</v>
      </c>
      <c r="V91" s="39"/>
      <c r="W91" s="450"/>
      <c r="X91" s="450"/>
      <c r="Y91" s="450"/>
      <c r="Z91" s="450"/>
      <c r="AA91" s="450"/>
      <c r="AB91" s="450"/>
      <c r="AC91" s="450"/>
      <c r="AD91" s="451"/>
      <c r="AE91" s="451"/>
      <c r="AF91" s="96"/>
      <c r="AG91" s="87"/>
      <c r="AH91" s="87"/>
      <c r="AI91" s="87"/>
      <c r="AJ91" s="87"/>
      <c r="AK91" s="87"/>
      <c r="AL91" s="87"/>
    </row>
    <row r="92" spans="1:22" ht="3" customHeight="1">
      <c r="A92" s="91"/>
      <c r="B92" s="215"/>
      <c r="J92" s="253"/>
      <c r="K92" s="91"/>
      <c r="M92" s="97"/>
      <c r="N92" s="97"/>
      <c r="O92" s="96"/>
      <c r="P92" s="84"/>
      <c r="Q92" s="84"/>
      <c r="R92" s="87"/>
      <c r="S92" s="84"/>
      <c r="T92" s="87"/>
      <c r="U92" s="84"/>
      <c r="V92" s="39"/>
    </row>
    <row r="93" spans="1:22" ht="18" customHeight="1">
      <c r="A93" s="91" t="str">
        <f>IF(Zwischenwerte!B45=TRUE,"x","q ")</f>
        <v>q </v>
      </c>
      <c r="B93" s="215" t="s">
        <v>152</v>
      </c>
      <c r="J93" s="253" t="s">
        <v>23</v>
      </c>
      <c r="M93" s="456">
        <f>IF(P93&gt;0,Eingabe!L125,"")</f>
      </c>
      <c r="N93" s="444"/>
      <c r="O93" s="96" t="s">
        <v>344</v>
      </c>
      <c r="P93" s="94">
        <f>Eingabe!O125+Eingabe!P125</f>
        <v>0</v>
      </c>
      <c r="Q93" s="37">
        <f>Klugheit_Mod</f>
        <v>-4</v>
      </c>
      <c r="R93" s="87" t="s">
        <v>345</v>
      </c>
      <c r="S93" s="37">
        <f>Eingabe!T125</f>
        <v>0</v>
      </c>
      <c r="T93" s="87" t="s">
        <v>345</v>
      </c>
      <c r="U93" s="37">
        <f>Eingabe!V125</f>
        <v>0</v>
      </c>
      <c r="V93" s="39"/>
    </row>
    <row r="94" spans="1:22" ht="3" customHeight="1">
      <c r="A94" s="91"/>
      <c r="B94" s="215"/>
      <c r="J94" s="253"/>
      <c r="M94" s="521"/>
      <c r="N94" s="522"/>
      <c r="O94" s="96"/>
      <c r="P94" s="84"/>
      <c r="Q94" s="84"/>
      <c r="R94" s="87"/>
      <c r="S94" s="84"/>
      <c r="T94" s="87"/>
      <c r="U94" s="84"/>
      <c r="V94" s="39"/>
    </row>
    <row r="95" spans="1:22" ht="18" customHeight="1">
      <c r="A95" s="91" t="str">
        <f>IF(Zwischenwerte!B46=TRUE,"x","q ")</f>
        <v>q </v>
      </c>
      <c r="B95" s="215" t="s">
        <v>103</v>
      </c>
      <c r="J95" s="253" t="s">
        <v>20</v>
      </c>
      <c r="M95" s="456">
        <f>IF(P95&gt;0,Eingabe!L126,"")</f>
      </c>
      <c r="N95" s="444"/>
      <c r="O95" s="96" t="s">
        <v>344</v>
      </c>
      <c r="P95" s="94">
        <f>Eingabe!O126+Eingabe!P126</f>
        <v>0</v>
      </c>
      <c r="Q95" s="37">
        <f>Klugheit_Mod</f>
        <v>-4</v>
      </c>
      <c r="R95" s="87" t="s">
        <v>345</v>
      </c>
      <c r="S95" s="37">
        <f>Eingabe!T126</f>
        <v>0</v>
      </c>
      <c r="T95" s="87" t="s">
        <v>345</v>
      </c>
      <c r="U95" s="37">
        <f>Eingabe!V126</f>
        <v>0</v>
      </c>
      <c r="V95" s="39"/>
    </row>
    <row r="96" spans="1:22" ht="3" customHeight="1">
      <c r="A96" s="91"/>
      <c r="B96" s="215"/>
      <c r="J96" s="253"/>
      <c r="M96" s="97"/>
      <c r="N96" s="97"/>
      <c r="O96" s="96"/>
      <c r="P96" s="84"/>
      <c r="Q96" s="84"/>
      <c r="R96" s="87"/>
      <c r="S96" s="84"/>
      <c r="T96" s="87"/>
      <c r="U96" s="84"/>
      <c r="V96" s="39"/>
    </row>
    <row r="97" spans="1:22" ht="18" customHeight="1">
      <c r="A97" s="91" t="str">
        <f>IF(Zwischenwerte!B47=TRUE,"x","q ")</f>
        <v>q </v>
      </c>
      <c r="B97" s="215" t="s">
        <v>104</v>
      </c>
      <c r="J97" s="253" t="s">
        <v>21</v>
      </c>
      <c r="K97" s="91" t="s">
        <v>521</v>
      </c>
      <c r="M97" s="443">
        <f>Eingabe!L127</f>
        <v>-4</v>
      </c>
      <c r="N97" s="444"/>
      <c r="O97" s="96" t="s">
        <v>344</v>
      </c>
      <c r="P97" s="94">
        <f>Eingabe!O127+Eingabe!P127</f>
        <v>0</v>
      </c>
      <c r="Q97" s="37">
        <f>Weisheit_Mod</f>
        <v>-4</v>
      </c>
      <c r="R97" s="87" t="s">
        <v>345</v>
      </c>
      <c r="S97" s="37">
        <f>Eingabe!T127</f>
        <v>0</v>
      </c>
      <c r="T97" s="87" t="s">
        <v>345</v>
      </c>
      <c r="U97" s="37">
        <f>Eingabe!V127</f>
        <v>0</v>
      </c>
      <c r="V97" s="39"/>
    </row>
    <row r="98" spans="1:22" ht="3" customHeight="1">
      <c r="A98" s="91"/>
      <c r="B98" s="215"/>
      <c r="J98" s="253"/>
      <c r="K98" s="91"/>
      <c r="M98" s="97"/>
      <c r="N98" s="97"/>
      <c r="O98" s="96"/>
      <c r="P98" s="84"/>
      <c r="Q98" s="84"/>
      <c r="R98" s="87"/>
      <c r="S98" s="84"/>
      <c r="T98" s="87"/>
      <c r="U98" s="84"/>
      <c r="V98" s="39"/>
    </row>
    <row r="99" spans="1:22" ht="18" customHeight="1">
      <c r="A99" s="91" t="str">
        <f>IF(Zwischenwerte!B48=TRUE,"x","q ")</f>
        <v>q </v>
      </c>
      <c r="B99" s="215" t="s">
        <v>519</v>
      </c>
      <c r="J99" s="253" t="s">
        <v>23</v>
      </c>
      <c r="K99" s="91" t="s">
        <v>521</v>
      </c>
      <c r="L99" s="91" t="s">
        <v>522</v>
      </c>
      <c r="M99" s="443">
        <f>Eingabe!L128</f>
        <v>-4</v>
      </c>
      <c r="N99" s="444"/>
      <c r="O99" s="96" t="s">
        <v>344</v>
      </c>
      <c r="P99" s="94">
        <f>Eingabe!O128+Eingabe!P128</f>
        <v>0</v>
      </c>
      <c r="Q99" s="94">
        <f>$J$31</f>
        <v>-4</v>
      </c>
      <c r="R99" s="87" t="s">
        <v>345</v>
      </c>
      <c r="S99" s="37">
        <f>Eingabe!T128</f>
        <v>0</v>
      </c>
      <c r="T99" s="87" t="s">
        <v>345</v>
      </c>
      <c r="U99" s="37">
        <f>Eingabe!V128</f>
        <v>0</v>
      </c>
      <c r="V99" s="39"/>
    </row>
    <row r="100" spans="1:22" ht="3" customHeight="1">
      <c r="A100" s="91"/>
      <c r="B100" s="215"/>
      <c r="J100" s="253"/>
      <c r="K100" s="91"/>
      <c r="L100" s="91"/>
      <c r="M100" s="97"/>
      <c r="N100" s="97"/>
      <c r="O100" s="96"/>
      <c r="P100" s="84"/>
      <c r="Q100" s="84"/>
      <c r="R100" s="87"/>
      <c r="S100" s="84"/>
      <c r="T100" s="87"/>
      <c r="U100" s="84"/>
      <c r="V100" s="39"/>
    </row>
    <row r="101" spans="1:39" ht="18" customHeight="1">
      <c r="A101" s="91" t="str">
        <f>IF(Zwischenwerte!B49=TRUE,"x","q ")</f>
        <v>q </v>
      </c>
      <c r="B101" s="215" t="s">
        <v>153</v>
      </c>
      <c r="J101" s="253" t="s">
        <v>23</v>
      </c>
      <c r="M101" s="456">
        <f>IF(P101&gt;0,Eingabe!L129,"")</f>
      </c>
      <c r="N101" s="444"/>
      <c r="O101" s="96" t="s">
        <v>344</v>
      </c>
      <c r="P101" s="94">
        <f>Eingabe!O129+Eingabe!P129</f>
        <v>0</v>
      </c>
      <c r="Q101" s="94">
        <f>$J$31</f>
        <v>-4</v>
      </c>
      <c r="R101" s="87" t="s">
        <v>345</v>
      </c>
      <c r="S101" s="37">
        <f>Eingabe!T129</f>
        <v>0</v>
      </c>
      <c r="T101" s="87" t="s">
        <v>345</v>
      </c>
      <c r="U101" s="37">
        <f>Eingabe!V129</f>
        <v>0</v>
      </c>
      <c r="V101" s="39"/>
      <c r="AM101" s="39"/>
    </row>
    <row r="102" spans="1:39" ht="3" customHeight="1">
      <c r="A102" s="91"/>
      <c r="B102" s="215"/>
      <c r="J102" s="253"/>
      <c r="M102" s="97"/>
      <c r="N102" s="97"/>
      <c r="O102" s="96"/>
      <c r="P102" s="84"/>
      <c r="Q102" s="84"/>
      <c r="R102" s="87"/>
      <c r="S102" s="84"/>
      <c r="T102" s="87"/>
      <c r="U102" s="84"/>
      <c r="V102" s="39"/>
      <c r="W102" s="39"/>
      <c r="X102" s="100"/>
      <c r="Y102" s="39"/>
      <c r="Z102" s="39"/>
      <c r="AA102" s="39"/>
      <c r="AB102" s="39"/>
      <c r="AC102" s="39"/>
      <c r="AD102" s="39"/>
      <c r="AE102" s="39"/>
      <c r="AF102" s="39"/>
      <c r="AG102" s="39"/>
      <c r="AH102" s="73"/>
      <c r="AI102" s="73"/>
      <c r="AJ102" s="96"/>
      <c r="AK102" s="39"/>
      <c r="AL102" s="39"/>
      <c r="AM102" s="39"/>
    </row>
    <row r="103" spans="1:38" ht="18" customHeight="1">
      <c r="A103" s="91" t="str">
        <f>IF(Zwischenwerte!B50=TRUE,"x","q ")</f>
        <v>q </v>
      </c>
      <c r="B103" s="215" t="s">
        <v>362</v>
      </c>
      <c r="J103" s="253" t="s">
        <v>20</v>
      </c>
      <c r="M103" s="456">
        <f>IF(P103&gt;0,Eingabe!L130,"")</f>
      </c>
      <c r="N103" s="444"/>
      <c r="O103" s="96" t="s">
        <v>344</v>
      </c>
      <c r="P103" s="94">
        <f>Eingabe!O130+Eingabe!P130</f>
        <v>0</v>
      </c>
      <c r="Q103" s="37">
        <f>Klugheit_Mod</f>
        <v>-4</v>
      </c>
      <c r="R103" s="87" t="s">
        <v>345</v>
      </c>
      <c r="S103" s="37">
        <f>Eingabe!T130</f>
        <v>0</v>
      </c>
      <c r="T103" s="87" t="s">
        <v>345</v>
      </c>
      <c r="U103" s="37">
        <f>Eingabe!V130</f>
        <v>0</v>
      </c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</row>
    <row r="104" spans="1:38" ht="3" customHeight="1">
      <c r="A104" s="91"/>
      <c r="B104" s="215"/>
      <c r="J104" s="253"/>
      <c r="M104" s="97"/>
      <c r="N104" s="97"/>
      <c r="O104" s="96"/>
      <c r="P104" s="84"/>
      <c r="Q104" s="84"/>
      <c r="R104" s="87"/>
      <c r="S104" s="84"/>
      <c r="T104" s="87"/>
      <c r="U104" s="84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</row>
    <row r="105" spans="1:39" ht="18" customHeight="1">
      <c r="A105" s="91" t="str">
        <f>IF(Zwischenwerte!B51=TRUE,"x","q ")</f>
        <v>q </v>
      </c>
      <c r="B105" s="215" t="s">
        <v>512</v>
      </c>
      <c r="J105" s="253" t="s">
        <v>240</v>
      </c>
      <c r="K105" s="91" t="s">
        <v>521</v>
      </c>
      <c r="M105" s="456">
        <f>Eingabe!L131</f>
        <v>-4</v>
      </c>
      <c r="N105" s="444"/>
      <c r="O105" s="96" t="s">
        <v>344</v>
      </c>
      <c r="P105" s="94">
        <f>Eingabe!O131+Eingabe!P131</f>
        <v>0</v>
      </c>
      <c r="Q105" s="37">
        <f>Gewandheit_Mod</f>
        <v>-4</v>
      </c>
      <c r="R105" s="87" t="s">
        <v>345</v>
      </c>
      <c r="S105" s="37">
        <f>Eingabe!T131</f>
        <v>0</v>
      </c>
      <c r="T105" s="87" t="s">
        <v>345</v>
      </c>
      <c r="U105" s="37">
        <f>Eingabe!V131</f>
        <v>0</v>
      </c>
      <c r="V105" s="39"/>
      <c r="W105" s="448" t="s">
        <v>508</v>
      </c>
      <c r="X105" s="448"/>
      <c r="Y105" s="448"/>
      <c r="Z105" s="448"/>
      <c r="AA105" s="448"/>
      <c r="AB105" s="448"/>
      <c r="AC105" s="448"/>
      <c r="AD105" s="457" t="s">
        <v>526</v>
      </c>
      <c r="AE105" s="457"/>
      <c r="AF105" s="251"/>
      <c r="AG105" s="247" t="s">
        <v>110</v>
      </c>
      <c r="AH105" s="252" t="s">
        <v>26</v>
      </c>
      <c r="AI105" s="247"/>
      <c r="AJ105" s="247" t="s">
        <v>114</v>
      </c>
      <c r="AK105" s="247"/>
      <c r="AL105" s="247" t="s">
        <v>114</v>
      </c>
      <c r="AM105" s="237"/>
    </row>
    <row r="106" spans="1:38" ht="3" customHeight="1">
      <c r="A106" s="91"/>
      <c r="B106" s="215"/>
      <c r="J106" s="253"/>
      <c r="K106" s="91"/>
      <c r="M106" s="73"/>
      <c r="N106" s="73"/>
      <c r="O106" s="96"/>
      <c r="P106" s="87"/>
      <c r="Q106" s="87"/>
      <c r="R106" s="87"/>
      <c r="S106" s="87"/>
      <c r="T106" s="87"/>
      <c r="U106" s="87"/>
      <c r="V106" s="39"/>
      <c r="W106" s="95"/>
      <c r="X106" s="39"/>
      <c r="Y106" s="39"/>
      <c r="Z106" s="39"/>
      <c r="AA106" s="39"/>
      <c r="AB106" s="39"/>
      <c r="AC106" s="39"/>
      <c r="AD106" s="81"/>
      <c r="AE106" s="81"/>
      <c r="AF106" s="101"/>
      <c r="AG106" s="81"/>
      <c r="AH106" s="102"/>
      <c r="AI106" s="81"/>
      <c r="AJ106" s="81"/>
      <c r="AK106" s="81"/>
      <c r="AL106" s="81"/>
    </row>
    <row r="107" spans="1:38" ht="18" customHeight="1">
      <c r="A107" s="91" t="str">
        <f>IF(Zwischenwerte!B52=TRUE,"x","q ")</f>
        <v>q </v>
      </c>
      <c r="B107" s="215" t="s">
        <v>510</v>
      </c>
      <c r="J107" s="253" t="s">
        <v>240</v>
      </c>
      <c r="K107" s="91" t="s">
        <v>521</v>
      </c>
      <c r="M107" s="443">
        <f>Eingabe!L132</f>
        <v>-4</v>
      </c>
      <c r="N107" s="444"/>
      <c r="O107" s="96" t="s">
        <v>344</v>
      </c>
      <c r="P107" s="94">
        <f>Eingabe!O132+Eingabe!P132</f>
        <v>0</v>
      </c>
      <c r="Q107" s="37">
        <f>Gewandheit_Mod</f>
        <v>-4</v>
      </c>
      <c r="R107" s="87" t="s">
        <v>345</v>
      </c>
      <c r="S107" s="37">
        <f>Eingabe!T132</f>
        <v>0</v>
      </c>
      <c r="T107" s="87" t="s">
        <v>345</v>
      </c>
      <c r="U107" s="37">
        <f>Eingabe!V132</f>
        <v>0</v>
      </c>
      <c r="W107" s="91" t="str">
        <f>IF(Zwischenwerte!C472=TRUE,"x","q ")</f>
        <v>q </v>
      </c>
      <c r="X107" s="216" t="s">
        <v>88</v>
      </c>
      <c r="Y107" s="39"/>
      <c r="Z107" s="39"/>
      <c r="AA107" s="39"/>
      <c r="AB107" s="104"/>
      <c r="AC107" s="39"/>
      <c r="AD107" s="70">
        <f>IF(AG107&gt;0,Eingabe!AE132,"")</f>
      </c>
      <c r="AE107" s="71"/>
      <c r="AF107" s="96" t="s">
        <v>344</v>
      </c>
      <c r="AG107" s="94">
        <f>Eingabe!AH132+Eingabe!AI132</f>
        <v>0</v>
      </c>
      <c r="AH107" s="37">
        <f>Klugheit_Mod</f>
        <v>-4</v>
      </c>
      <c r="AI107" s="87" t="s">
        <v>345</v>
      </c>
      <c r="AJ107" s="37">
        <f>Eingabe!AM132</f>
        <v>0</v>
      </c>
      <c r="AK107" s="87" t="s">
        <v>345</v>
      </c>
      <c r="AL107" s="37">
        <f>Eingabe!AO132</f>
        <v>0</v>
      </c>
    </row>
    <row r="108" spans="1:38" ht="3" customHeight="1">
      <c r="A108" s="91"/>
      <c r="B108" s="215"/>
      <c r="J108" s="253"/>
      <c r="K108" s="91"/>
      <c r="M108" s="97"/>
      <c r="N108" s="97"/>
      <c r="O108" s="96"/>
      <c r="P108" s="84"/>
      <c r="Q108" s="84"/>
      <c r="R108" s="87"/>
      <c r="S108" s="84"/>
      <c r="T108" s="87"/>
      <c r="U108" s="84"/>
      <c r="W108" s="91"/>
      <c r="X108" s="216"/>
      <c r="Y108" s="39"/>
      <c r="Z108" s="39"/>
      <c r="AA108" s="39"/>
      <c r="AB108" s="104"/>
      <c r="AC108" s="39"/>
      <c r="AD108" s="97"/>
      <c r="AE108" s="97"/>
      <c r="AF108" s="96"/>
      <c r="AG108" s="84"/>
      <c r="AH108" s="84"/>
      <c r="AI108" s="87"/>
      <c r="AJ108" s="84"/>
      <c r="AK108" s="87"/>
      <c r="AL108" s="84"/>
    </row>
    <row r="109" spans="1:38" ht="18" customHeight="1">
      <c r="A109" s="91" t="str">
        <f>IF(Zwischenwerte!B53=TRUE,"x","q ")</f>
        <v>q </v>
      </c>
      <c r="B109" s="215" t="s">
        <v>81</v>
      </c>
      <c r="J109" s="253" t="s">
        <v>240</v>
      </c>
      <c r="M109" s="456">
        <f>IF(P109&gt;0,Eingabe!L133,"")</f>
      </c>
      <c r="N109" s="444"/>
      <c r="O109" s="96" t="s">
        <v>344</v>
      </c>
      <c r="P109" s="94">
        <f>Eingabe!O133+Eingabe!P133</f>
        <v>0</v>
      </c>
      <c r="Q109" s="37">
        <f>Gewandheit_Mod</f>
        <v>-4</v>
      </c>
      <c r="R109" s="87" t="s">
        <v>345</v>
      </c>
      <c r="S109" s="37">
        <f>Eingabe!T133</f>
        <v>0</v>
      </c>
      <c r="T109" s="87" t="s">
        <v>345</v>
      </c>
      <c r="U109" s="37">
        <f>Eingabe!V133</f>
        <v>0</v>
      </c>
      <c r="W109" s="91" t="str">
        <f>IF(Zwischenwerte!C473=TRUE,"x","q ")</f>
        <v>q </v>
      </c>
      <c r="X109" s="216" t="s">
        <v>523</v>
      </c>
      <c r="Y109" s="39"/>
      <c r="Z109" s="39"/>
      <c r="AA109" s="39"/>
      <c r="AB109" s="104"/>
      <c r="AC109" s="39"/>
      <c r="AD109" s="443">
        <f>IF(AG109&gt;0,Eingabe!AE133,"")</f>
      </c>
      <c r="AE109" s="444"/>
      <c r="AF109" s="96" t="s">
        <v>344</v>
      </c>
      <c r="AG109" s="94">
        <f>Eingabe!AH133+Eingabe!AI133</f>
        <v>0</v>
      </c>
      <c r="AH109" s="37">
        <f>Klugheit_Mod</f>
        <v>-4</v>
      </c>
      <c r="AI109" s="87" t="s">
        <v>345</v>
      </c>
      <c r="AJ109" s="37">
        <f>Eingabe!AM133</f>
        <v>0</v>
      </c>
      <c r="AK109" s="87" t="s">
        <v>345</v>
      </c>
      <c r="AL109" s="37">
        <f>Eingabe!AO133</f>
        <v>0</v>
      </c>
    </row>
    <row r="110" spans="1:38" ht="3" customHeight="1">
      <c r="A110" s="91"/>
      <c r="B110" s="215"/>
      <c r="J110" s="253"/>
      <c r="M110" s="97"/>
      <c r="N110" s="97"/>
      <c r="O110" s="96"/>
      <c r="P110" s="84"/>
      <c r="Q110" s="84"/>
      <c r="R110" s="87"/>
      <c r="S110" s="84"/>
      <c r="T110" s="87"/>
      <c r="U110" s="84"/>
      <c r="W110" s="91"/>
      <c r="X110" s="216"/>
      <c r="Y110" s="39"/>
      <c r="Z110" s="39"/>
      <c r="AA110" s="39"/>
      <c r="AB110" s="104"/>
      <c r="AC110" s="39"/>
      <c r="AD110" s="97"/>
      <c r="AE110" s="97"/>
      <c r="AF110" s="96"/>
      <c r="AG110" s="84"/>
      <c r="AH110" s="84"/>
      <c r="AI110" s="87"/>
      <c r="AJ110" s="84"/>
      <c r="AK110" s="87"/>
      <c r="AL110" s="84"/>
    </row>
    <row r="111" spans="1:38" ht="18" customHeight="1">
      <c r="A111" s="91" t="str">
        <f>IF(Zwischenwerte!B54=TRUE,"x","q ")</f>
        <v>q </v>
      </c>
      <c r="B111" s="215" t="s">
        <v>80</v>
      </c>
      <c r="J111" s="253" t="s">
        <v>20</v>
      </c>
      <c r="M111" s="456">
        <f>IF(P111&gt;0,Eingabe!L134,"")</f>
      </c>
      <c r="N111" s="444"/>
      <c r="O111" s="96" t="s">
        <v>344</v>
      </c>
      <c r="P111" s="94">
        <f>Eingabe!O134+Eingabe!P134</f>
        <v>0</v>
      </c>
      <c r="Q111" s="37">
        <f>Klugheit_Mod</f>
        <v>-4</v>
      </c>
      <c r="R111" s="87" t="s">
        <v>345</v>
      </c>
      <c r="S111" s="37">
        <f>Eingabe!T134</f>
        <v>0</v>
      </c>
      <c r="T111" s="87" t="s">
        <v>345</v>
      </c>
      <c r="U111" s="37">
        <f>Eingabe!V134</f>
        <v>0</v>
      </c>
      <c r="W111" s="91" t="str">
        <f>IF(Zwischenwerte!C474=TRUE,"x","q ")</f>
        <v>q </v>
      </c>
      <c r="X111" s="216" t="s">
        <v>84</v>
      </c>
      <c r="Y111" s="39"/>
      <c r="Z111" s="39"/>
      <c r="AA111" s="39"/>
      <c r="AB111" s="104"/>
      <c r="AC111" s="39"/>
      <c r="AD111" s="443">
        <f>IF(AG111&gt;0,Eingabe!AE134,"")</f>
      </c>
      <c r="AE111" s="444"/>
      <c r="AF111" s="96" t="s">
        <v>344</v>
      </c>
      <c r="AG111" s="94">
        <f>Eingabe!AH134+Eingabe!AI134</f>
        <v>0</v>
      </c>
      <c r="AH111" s="37">
        <f>Klugheit_Mod</f>
        <v>-4</v>
      </c>
      <c r="AI111" s="87" t="s">
        <v>345</v>
      </c>
      <c r="AJ111" s="37">
        <f>Eingabe!AM134</f>
        <v>0</v>
      </c>
      <c r="AK111" s="87" t="s">
        <v>345</v>
      </c>
      <c r="AL111" s="37">
        <f>Eingabe!AO134</f>
        <v>0</v>
      </c>
    </row>
    <row r="112" spans="1:38" ht="3" customHeight="1">
      <c r="A112" s="91"/>
      <c r="B112" s="215"/>
      <c r="J112" s="253"/>
      <c r="M112" s="97"/>
      <c r="N112" s="97"/>
      <c r="O112" s="96"/>
      <c r="P112" s="84"/>
      <c r="Q112" s="84"/>
      <c r="R112" s="87"/>
      <c r="S112" s="84"/>
      <c r="T112" s="87"/>
      <c r="U112" s="84"/>
      <c r="W112" s="91"/>
      <c r="X112" s="216"/>
      <c r="Y112" s="39"/>
      <c r="Z112" s="39"/>
      <c r="AA112" s="39"/>
      <c r="AB112" s="104"/>
      <c r="AC112" s="39"/>
      <c r="AD112" s="97"/>
      <c r="AE112" s="97"/>
      <c r="AF112" s="96"/>
      <c r="AG112" s="84"/>
      <c r="AH112" s="84"/>
      <c r="AI112" s="87"/>
      <c r="AJ112" s="84"/>
      <c r="AK112" s="87"/>
      <c r="AL112" s="84"/>
    </row>
    <row r="113" spans="1:38" ht="18" customHeight="1">
      <c r="A113" s="91" t="str">
        <f>IF(Zwischenwerte!B55=TRUE,"x","q ")</f>
        <v>q </v>
      </c>
      <c r="B113" s="215" t="s">
        <v>491</v>
      </c>
      <c r="J113" s="253" t="s">
        <v>24</v>
      </c>
      <c r="K113" s="91" t="s">
        <v>521</v>
      </c>
      <c r="M113" s="443">
        <f>Eingabe!L135</f>
        <v>-4</v>
      </c>
      <c r="N113" s="444"/>
      <c r="O113" s="96" t="s">
        <v>344</v>
      </c>
      <c r="P113" s="94">
        <f>Eingabe!O135+Eingabe!P135</f>
        <v>0</v>
      </c>
      <c r="Q113" s="37">
        <f>Stärke_Mod</f>
        <v>-4</v>
      </c>
      <c r="R113" s="87" t="s">
        <v>345</v>
      </c>
      <c r="S113" s="37">
        <f>Eingabe!T135</f>
        <v>0</v>
      </c>
      <c r="T113" s="87" t="s">
        <v>345</v>
      </c>
      <c r="U113" s="37">
        <f>Eingabe!V135</f>
        <v>0</v>
      </c>
      <c r="W113" s="91" t="str">
        <f>IF(Zwischenwerte!C475=TRUE,"x","q ")</f>
        <v>q </v>
      </c>
      <c r="X113" s="216" t="s">
        <v>90</v>
      </c>
      <c r="Y113" s="39"/>
      <c r="Z113" s="39"/>
      <c r="AA113" s="39"/>
      <c r="AB113" s="104"/>
      <c r="AC113" s="39"/>
      <c r="AD113" s="443">
        <f>IF(AG113&gt;0,Eingabe!AE135,"")</f>
      </c>
      <c r="AE113" s="444"/>
      <c r="AF113" s="96" t="s">
        <v>344</v>
      </c>
      <c r="AG113" s="94">
        <f>Eingabe!AH135+Eingabe!AI135</f>
        <v>0</v>
      </c>
      <c r="AH113" s="37">
        <f>Klugheit_Mod</f>
        <v>-4</v>
      </c>
      <c r="AI113" s="87" t="s">
        <v>345</v>
      </c>
      <c r="AJ113" s="37">
        <f>Eingabe!AM135</f>
        <v>0</v>
      </c>
      <c r="AK113" s="87" t="s">
        <v>345</v>
      </c>
      <c r="AL113" s="37">
        <f>Eingabe!AO135</f>
        <v>0</v>
      </c>
    </row>
    <row r="114" spans="1:38" ht="3" customHeight="1">
      <c r="A114" s="91"/>
      <c r="B114" s="215"/>
      <c r="J114" s="253"/>
      <c r="K114" s="91"/>
      <c r="M114" s="97"/>
      <c r="N114" s="97"/>
      <c r="O114" s="96"/>
      <c r="P114" s="84"/>
      <c r="Q114" s="84"/>
      <c r="R114" s="87"/>
      <c r="S114" s="84"/>
      <c r="T114" s="87"/>
      <c r="U114" s="84"/>
      <c r="W114" s="91"/>
      <c r="X114" s="216"/>
      <c r="Y114" s="39"/>
      <c r="Z114" s="39"/>
      <c r="AA114" s="39"/>
      <c r="AB114" s="104"/>
      <c r="AC114" s="39"/>
      <c r="AD114" s="97"/>
      <c r="AE114" s="97"/>
      <c r="AF114" s="96"/>
      <c r="AG114" s="84"/>
      <c r="AH114" s="84"/>
      <c r="AI114" s="87"/>
      <c r="AJ114" s="84"/>
      <c r="AK114" s="87"/>
      <c r="AL114" s="84"/>
    </row>
    <row r="115" spans="1:38" ht="18" customHeight="1">
      <c r="A115" s="91" t="str">
        <f>IF(Zwischenwerte!B56=TRUE,"x","q ")</f>
        <v>q </v>
      </c>
      <c r="B115" s="215" t="s">
        <v>83</v>
      </c>
      <c r="J115" s="253" t="s">
        <v>240</v>
      </c>
      <c r="K115" s="91" t="s">
        <v>521</v>
      </c>
      <c r="M115" s="443">
        <f>Eingabe!L136</f>
        <v>-4</v>
      </c>
      <c r="N115" s="444"/>
      <c r="O115" s="96" t="s">
        <v>344</v>
      </c>
      <c r="P115" s="94">
        <f>Eingabe!O136+Eingabe!P136</f>
        <v>0</v>
      </c>
      <c r="Q115" s="37">
        <f>Gewandheit_Mod</f>
        <v>-4</v>
      </c>
      <c r="R115" s="87" t="s">
        <v>345</v>
      </c>
      <c r="S115" s="37" t="str">
        <f>Eingabe!T136</f>
        <v>M</v>
      </c>
      <c r="T115" s="87" t="s">
        <v>345</v>
      </c>
      <c r="U115" s="37">
        <f>Eingabe!V136</f>
        <v>0</v>
      </c>
      <c r="W115" s="91" t="str">
        <f>IF(Zwischenwerte!C476=TRUE,"x","q ")</f>
        <v>q </v>
      </c>
      <c r="X115" s="216" t="s">
        <v>524</v>
      </c>
      <c r="Y115" s="39"/>
      <c r="Z115" s="39"/>
      <c r="AA115" s="39"/>
      <c r="AB115" s="104"/>
      <c r="AC115" s="39"/>
      <c r="AD115" s="443">
        <f>IF(AG115&gt;0,Eingabe!AE136,"")</f>
      </c>
      <c r="AE115" s="444"/>
      <c r="AF115" s="96" t="s">
        <v>344</v>
      </c>
      <c r="AG115" s="94">
        <f>Eingabe!AH136+Eingabe!AI136</f>
        <v>0</v>
      </c>
      <c r="AH115" s="37">
        <f>Klugheit_Mod</f>
        <v>-4</v>
      </c>
      <c r="AI115" s="87" t="s">
        <v>345</v>
      </c>
      <c r="AJ115" s="37">
        <f>Eingabe!AM136</f>
        <v>0</v>
      </c>
      <c r="AK115" s="87" t="s">
        <v>345</v>
      </c>
      <c r="AL115" s="37">
        <f>Eingabe!AO136</f>
        <v>0</v>
      </c>
    </row>
    <row r="116" spans="1:38" ht="3" customHeight="1">
      <c r="A116" s="91"/>
      <c r="B116" s="215"/>
      <c r="J116" s="253"/>
      <c r="K116" s="91"/>
      <c r="M116" s="97"/>
      <c r="N116" s="97"/>
      <c r="O116" s="96"/>
      <c r="P116" s="84"/>
      <c r="Q116" s="84"/>
      <c r="R116" s="87"/>
      <c r="S116" s="84"/>
      <c r="T116" s="87"/>
      <c r="U116" s="84"/>
      <c r="W116" s="91"/>
      <c r="X116" s="216"/>
      <c r="Y116" s="39"/>
      <c r="Z116" s="39"/>
      <c r="AA116" s="39"/>
      <c r="AB116" s="104"/>
      <c r="AC116" s="39"/>
      <c r="AD116" s="97"/>
      <c r="AE116" s="97"/>
      <c r="AF116" s="96"/>
      <c r="AG116" s="84"/>
      <c r="AH116" s="84"/>
      <c r="AI116" s="87"/>
      <c r="AJ116" s="84"/>
      <c r="AK116" s="87"/>
      <c r="AL116" s="84"/>
    </row>
    <row r="117" spans="1:38" ht="18" customHeight="1">
      <c r="A117" s="91" t="str">
        <f>IF(Zwischenwerte!B57=TRUE,"x","q ")</f>
        <v>q </v>
      </c>
      <c r="B117" s="215" t="s">
        <v>92</v>
      </c>
      <c r="J117" s="253" t="s">
        <v>21</v>
      </c>
      <c r="M117" s="456">
        <f>IF(P117&gt;0,Eingabe!L137,"")</f>
      </c>
      <c r="N117" s="444"/>
      <c r="O117" s="96" t="s">
        <v>344</v>
      </c>
      <c r="P117" s="94">
        <f>Eingabe!O137+Eingabe!P137</f>
        <v>0</v>
      </c>
      <c r="Q117" s="37">
        <f>Weisheit_Mod</f>
        <v>-4</v>
      </c>
      <c r="R117" s="87" t="s">
        <v>345</v>
      </c>
      <c r="S117" s="37">
        <f>Eingabe!T137</f>
        <v>0</v>
      </c>
      <c r="T117" s="87" t="s">
        <v>345</v>
      </c>
      <c r="U117" s="37">
        <f>Eingabe!V137</f>
        <v>0</v>
      </c>
      <c r="W117" s="91" t="str">
        <f>IF(Zwischenwerte!C477=TRUE,"x","q ")</f>
        <v>q </v>
      </c>
      <c r="X117" s="216" t="s">
        <v>525</v>
      </c>
      <c r="Y117" s="39"/>
      <c r="Z117" s="39"/>
      <c r="AA117" s="39"/>
      <c r="AB117" s="104"/>
      <c r="AC117" s="39"/>
      <c r="AD117" s="443">
        <f>IF(AG117&gt;0,Eingabe!AE137,"")</f>
      </c>
      <c r="AE117" s="444"/>
      <c r="AF117" s="96" t="s">
        <v>344</v>
      </c>
      <c r="AG117" s="94">
        <f>Eingabe!AH137+Eingabe!AI137</f>
        <v>0</v>
      </c>
      <c r="AH117" s="37">
        <f>Klugheit_Mod</f>
        <v>-4</v>
      </c>
      <c r="AI117" s="87" t="s">
        <v>345</v>
      </c>
      <c r="AJ117" s="37">
        <f>Eingabe!AM137</f>
        <v>0</v>
      </c>
      <c r="AK117" s="87" t="s">
        <v>345</v>
      </c>
      <c r="AL117" s="37">
        <f>Eingabe!AO137</f>
        <v>0</v>
      </c>
    </row>
    <row r="118" spans="1:38" ht="3" customHeight="1">
      <c r="A118" s="91"/>
      <c r="B118" s="215"/>
      <c r="J118" s="253"/>
      <c r="M118" s="97"/>
      <c r="N118" s="97"/>
      <c r="O118" s="96"/>
      <c r="P118" s="84"/>
      <c r="Q118" s="84"/>
      <c r="R118" s="87"/>
      <c r="S118" s="84"/>
      <c r="T118" s="87"/>
      <c r="U118" s="84"/>
      <c r="W118" s="91"/>
      <c r="X118" s="216"/>
      <c r="Y118" s="39"/>
      <c r="Z118" s="39"/>
      <c r="AA118" s="39"/>
      <c r="AB118" s="104"/>
      <c r="AC118" s="39"/>
      <c r="AD118" s="97"/>
      <c r="AE118" s="97"/>
      <c r="AF118" s="96"/>
      <c r="AG118" s="84"/>
      <c r="AH118" s="84"/>
      <c r="AI118" s="87"/>
      <c r="AJ118" s="84"/>
      <c r="AK118" s="87"/>
      <c r="AL118" s="84"/>
    </row>
    <row r="119" spans="1:38" ht="18" customHeight="1">
      <c r="A119" s="91" t="str">
        <f>IF(Zwischenwerte!B58=TRUE,"x","q ")</f>
        <v>q </v>
      </c>
      <c r="B119" s="215" t="s">
        <v>507</v>
      </c>
      <c r="J119" s="253" t="s">
        <v>24</v>
      </c>
      <c r="K119" s="91" t="s">
        <v>521</v>
      </c>
      <c r="M119" s="443">
        <f>Eingabe!L138</f>
        <v>-4</v>
      </c>
      <c r="N119" s="444"/>
      <c r="O119" s="96" t="s">
        <v>344</v>
      </c>
      <c r="P119" s="94">
        <f>Eingabe!O138+Eingabe!P138</f>
        <v>0</v>
      </c>
      <c r="Q119" s="37">
        <f>Stärke_Mod</f>
        <v>-4</v>
      </c>
      <c r="R119" s="87" t="s">
        <v>345</v>
      </c>
      <c r="S119" s="37">
        <f>Eingabe!T138</f>
        <v>0</v>
      </c>
      <c r="T119" s="87" t="s">
        <v>345</v>
      </c>
      <c r="U119" s="37">
        <f>Eingabe!V138</f>
        <v>0</v>
      </c>
      <c r="W119" s="91" t="str">
        <f>IF(Zwischenwerte!C478=TRUE,"x","q ")</f>
        <v>q </v>
      </c>
      <c r="X119" s="216" t="s">
        <v>85</v>
      </c>
      <c r="Y119" s="39"/>
      <c r="Z119" s="39"/>
      <c r="AA119" s="39"/>
      <c r="AB119" s="104"/>
      <c r="AC119" s="39"/>
      <c r="AD119" s="443">
        <f>IF(AG119&gt;0,Eingabe!AE138,"")</f>
      </c>
      <c r="AE119" s="444"/>
      <c r="AF119" s="96" t="s">
        <v>344</v>
      </c>
      <c r="AG119" s="94">
        <f>Eingabe!AH138+Eingabe!AI138</f>
        <v>0</v>
      </c>
      <c r="AH119" s="37">
        <f>Klugheit_Mod</f>
        <v>-4</v>
      </c>
      <c r="AI119" s="87" t="s">
        <v>345</v>
      </c>
      <c r="AJ119" s="37">
        <f>Eingabe!AM138</f>
        <v>0</v>
      </c>
      <c r="AK119" s="87" t="s">
        <v>345</v>
      </c>
      <c r="AL119" s="37">
        <f>Eingabe!AO138</f>
        <v>0</v>
      </c>
    </row>
    <row r="120" spans="1:38" ht="3" customHeight="1">
      <c r="A120" s="91"/>
      <c r="B120" s="215"/>
      <c r="J120" s="253"/>
      <c r="K120" s="91"/>
      <c r="M120" s="97"/>
      <c r="N120" s="97"/>
      <c r="O120" s="96"/>
      <c r="P120" s="84"/>
      <c r="Q120" s="84"/>
      <c r="R120" s="87"/>
      <c r="S120" s="84"/>
      <c r="T120" s="87"/>
      <c r="U120" s="84"/>
      <c r="W120" s="91"/>
      <c r="X120" s="216"/>
      <c r="Y120" s="39"/>
      <c r="Z120" s="39"/>
      <c r="AA120" s="39"/>
      <c r="AB120" s="104"/>
      <c r="AC120" s="39"/>
      <c r="AD120" s="97"/>
      <c r="AE120" s="97"/>
      <c r="AF120" s="96"/>
      <c r="AG120" s="84"/>
      <c r="AH120" s="84"/>
      <c r="AI120" s="87"/>
      <c r="AJ120" s="84"/>
      <c r="AK120" s="87"/>
      <c r="AL120" s="84"/>
    </row>
    <row r="121" spans="1:38" ht="18" customHeight="1">
      <c r="A121" s="91" t="str">
        <f>IF(Zwischenwerte!B60=TRUE,"x","q ")</f>
        <v>q </v>
      </c>
      <c r="B121" s="215" t="s">
        <v>513</v>
      </c>
      <c r="J121" s="253" t="s">
        <v>20</v>
      </c>
      <c r="K121" s="91" t="s">
        <v>521</v>
      </c>
      <c r="M121" s="443">
        <f>Eingabe!L139</f>
        <v>-4</v>
      </c>
      <c r="N121" s="444"/>
      <c r="O121" s="96" t="s">
        <v>344</v>
      </c>
      <c r="P121" s="94">
        <f>Eingabe!O139+Eingabe!P139</f>
        <v>0</v>
      </c>
      <c r="Q121" s="37">
        <f>Klugheit_Mod</f>
        <v>-4</v>
      </c>
      <c r="R121" s="87" t="s">
        <v>345</v>
      </c>
      <c r="S121" s="37" t="str">
        <f>Eingabe!T139</f>
        <v>M</v>
      </c>
      <c r="T121" s="87" t="s">
        <v>345</v>
      </c>
      <c r="U121" s="37">
        <f>Eingabe!V139</f>
        <v>0</v>
      </c>
      <c r="W121" s="91" t="str">
        <f>IF(Zwischenwerte!C479=TRUE,"x","q ")</f>
        <v>q </v>
      </c>
      <c r="X121" s="216" t="s">
        <v>86</v>
      </c>
      <c r="Y121" s="39"/>
      <c r="Z121" s="39"/>
      <c r="AA121" s="39"/>
      <c r="AB121" s="104"/>
      <c r="AC121" s="39"/>
      <c r="AD121" s="443">
        <f>IF(AG121&gt;0,Eingabe!AE139,"")</f>
      </c>
      <c r="AE121" s="444"/>
      <c r="AF121" s="96" t="s">
        <v>344</v>
      </c>
      <c r="AG121" s="94">
        <f>Eingabe!AH139+Eingabe!AI139</f>
        <v>0</v>
      </c>
      <c r="AH121" s="37">
        <f>Klugheit_Mod</f>
        <v>-4</v>
      </c>
      <c r="AI121" s="87" t="s">
        <v>345</v>
      </c>
      <c r="AJ121" s="37">
        <f>Eingabe!AM139</f>
        <v>0</v>
      </c>
      <c r="AK121" s="87" t="s">
        <v>345</v>
      </c>
      <c r="AL121" s="37">
        <f>Eingabe!AO139</f>
        <v>0</v>
      </c>
    </row>
    <row r="122" spans="1:38" ht="3" customHeight="1">
      <c r="A122" s="91"/>
      <c r="B122" s="215"/>
      <c r="J122" s="253"/>
      <c r="K122" s="91"/>
      <c r="M122" s="97"/>
      <c r="N122" s="97"/>
      <c r="O122" s="96"/>
      <c r="P122" s="84"/>
      <c r="Q122" s="84"/>
      <c r="R122" s="87"/>
      <c r="S122" s="84"/>
      <c r="T122" s="87"/>
      <c r="U122" s="84"/>
      <c r="W122" s="91"/>
      <c r="X122" s="216"/>
      <c r="Y122" s="39"/>
      <c r="Z122" s="39"/>
      <c r="AA122" s="39"/>
      <c r="AB122" s="104"/>
      <c r="AC122" s="39"/>
      <c r="AD122" s="97"/>
      <c r="AE122" s="97"/>
      <c r="AF122" s="96"/>
      <c r="AG122" s="84"/>
      <c r="AH122" s="84"/>
      <c r="AI122" s="87"/>
      <c r="AJ122" s="84"/>
      <c r="AK122" s="87"/>
      <c r="AL122" s="84"/>
    </row>
    <row r="123" spans="1:38" ht="18" customHeight="1">
      <c r="A123" s="91" t="str">
        <f>IF(Zwischenwerte!B61=TRUE,"x","q ")</f>
        <v>q </v>
      </c>
      <c r="B123" s="215" t="s">
        <v>514</v>
      </c>
      <c r="J123" s="253" t="s">
        <v>240</v>
      </c>
      <c r="M123" s="456">
        <f>IF(P123&gt;0,Eingabe!L140,"")</f>
      </c>
      <c r="N123" s="444"/>
      <c r="O123" s="96" t="s">
        <v>344</v>
      </c>
      <c r="P123" s="94">
        <f>Eingabe!O140+Eingabe!P140</f>
        <v>0</v>
      </c>
      <c r="Q123" s="37">
        <f>Gewandheit_Mod</f>
        <v>-4</v>
      </c>
      <c r="R123" s="87" t="s">
        <v>345</v>
      </c>
      <c r="S123" s="37">
        <f>Eingabe!T140</f>
        <v>0</v>
      </c>
      <c r="T123" s="87" t="s">
        <v>345</v>
      </c>
      <c r="U123" s="37">
        <f>Eingabe!V140</f>
        <v>0</v>
      </c>
      <c r="W123" s="91" t="str">
        <f>IF(Zwischenwerte!C480=TRUE,"x","q ")</f>
        <v>q </v>
      </c>
      <c r="X123" s="216" t="s">
        <v>87</v>
      </c>
      <c r="Y123" s="39"/>
      <c r="Z123" s="39"/>
      <c r="AA123" s="39"/>
      <c r="AB123" s="104"/>
      <c r="AC123" s="39"/>
      <c r="AD123" s="443">
        <f>IF(AG123&gt;0,Eingabe!AE140,"")</f>
      </c>
      <c r="AE123" s="444"/>
      <c r="AF123" s="96" t="s">
        <v>344</v>
      </c>
      <c r="AG123" s="94">
        <f>Eingabe!AH140+Eingabe!AI140</f>
        <v>0</v>
      </c>
      <c r="AH123" s="37">
        <f>Klugheit_Mod</f>
        <v>-4</v>
      </c>
      <c r="AI123" s="87" t="s">
        <v>345</v>
      </c>
      <c r="AJ123" s="37">
        <f>Eingabe!AM140</f>
        <v>0</v>
      </c>
      <c r="AK123" s="87" t="s">
        <v>345</v>
      </c>
      <c r="AL123" s="37">
        <f>Eingabe!AO140</f>
        <v>0</v>
      </c>
    </row>
    <row r="124" spans="1:38" ht="3" customHeight="1">
      <c r="A124" s="91"/>
      <c r="B124" s="215"/>
      <c r="J124" s="253"/>
      <c r="M124" s="97"/>
      <c r="N124" s="97"/>
      <c r="O124" s="96"/>
      <c r="P124" s="84"/>
      <c r="Q124" s="84"/>
      <c r="R124" s="87"/>
      <c r="S124" s="84"/>
      <c r="T124" s="87"/>
      <c r="U124" s="84"/>
      <c r="W124" s="91"/>
      <c r="X124" s="216"/>
      <c r="Y124" s="39"/>
      <c r="Z124" s="39"/>
      <c r="AA124" s="39"/>
      <c r="AB124" s="104"/>
      <c r="AC124" s="39"/>
      <c r="AD124" s="97"/>
      <c r="AE124" s="97"/>
      <c r="AF124" s="96"/>
      <c r="AG124" s="84"/>
      <c r="AH124" s="84"/>
      <c r="AI124" s="87"/>
      <c r="AJ124" s="84"/>
      <c r="AK124" s="87"/>
      <c r="AL124" s="84"/>
    </row>
    <row r="125" spans="1:38" ht="18" customHeight="1">
      <c r="A125" s="91" t="str">
        <f>IF(Zwischenwerte!B62=TRUE,"x","q ")</f>
        <v>q </v>
      </c>
      <c r="B125" s="215" t="s">
        <v>518</v>
      </c>
      <c r="J125" s="253" t="s">
        <v>23</v>
      </c>
      <c r="M125" s="456">
        <f>IF(P125&gt;0,Eingabe!L141,"")</f>
      </c>
      <c r="N125" s="444"/>
      <c r="O125" s="96" t="s">
        <v>344</v>
      </c>
      <c r="P125" s="94">
        <f>Eingabe!O141+Eingabe!P141</f>
        <v>0</v>
      </c>
      <c r="Q125" s="94">
        <f>$J$31</f>
        <v>-4</v>
      </c>
      <c r="R125" s="87" t="s">
        <v>345</v>
      </c>
      <c r="S125" s="37">
        <f>Eingabe!T141</f>
        <v>0</v>
      </c>
      <c r="T125" s="87" t="s">
        <v>345</v>
      </c>
      <c r="U125" s="37">
        <f>Eingabe!V141</f>
        <v>0</v>
      </c>
      <c r="W125" s="91" t="str">
        <f>IF(Zwischenwerte!C481=TRUE,"x","q ")</f>
        <v>q </v>
      </c>
      <c r="X125" s="217" t="s">
        <v>91</v>
      </c>
      <c r="Y125" s="39"/>
      <c r="Z125" s="39"/>
      <c r="AA125" s="39"/>
      <c r="AB125" s="104"/>
      <c r="AC125" s="39"/>
      <c r="AD125" s="443">
        <f>IF(AG125&gt;0,Eingabe!AE141,"")</f>
      </c>
      <c r="AE125" s="444"/>
      <c r="AF125" s="96" t="s">
        <v>344</v>
      </c>
      <c r="AG125" s="94">
        <f>Eingabe!AH141+Eingabe!AI141</f>
        <v>0</v>
      </c>
      <c r="AH125" s="37">
        <f>Klugheit_Mod</f>
        <v>-4</v>
      </c>
      <c r="AI125" s="87" t="s">
        <v>345</v>
      </c>
      <c r="AJ125" s="37">
        <f>Eingabe!AM141</f>
        <v>0</v>
      </c>
      <c r="AK125" s="87" t="s">
        <v>345</v>
      </c>
      <c r="AL125" s="37">
        <f>Eingabe!AO141</f>
        <v>0</v>
      </c>
    </row>
    <row r="126" spans="1:38" ht="3" customHeight="1">
      <c r="A126" s="91"/>
      <c r="B126" s="215"/>
      <c r="J126" s="253"/>
      <c r="M126" s="97"/>
      <c r="N126" s="97"/>
      <c r="O126" s="96"/>
      <c r="P126" s="84"/>
      <c r="Q126" s="84"/>
      <c r="R126" s="87"/>
      <c r="S126" s="84"/>
      <c r="T126" s="87"/>
      <c r="U126" s="84"/>
      <c r="W126" s="91"/>
      <c r="X126" s="217"/>
      <c r="Y126" s="39"/>
      <c r="Z126" s="39"/>
      <c r="AA126" s="39"/>
      <c r="AB126" s="104"/>
      <c r="AC126" s="39"/>
      <c r="AD126" s="97"/>
      <c r="AE126" s="97"/>
      <c r="AF126" s="96"/>
      <c r="AG126" s="84"/>
      <c r="AH126" s="84"/>
      <c r="AI126" s="87"/>
      <c r="AJ126" s="84"/>
      <c r="AK126" s="87"/>
      <c r="AL126" s="84"/>
    </row>
    <row r="127" spans="1:38" ht="18" customHeight="1">
      <c r="A127" s="91" t="str">
        <f>IF(Zwischenwerte!B63=TRUE,"x","q ")</f>
        <v>q </v>
      </c>
      <c r="B127" s="215" t="s">
        <v>516</v>
      </c>
      <c r="J127" s="253" t="s">
        <v>21</v>
      </c>
      <c r="K127" s="91" t="s">
        <v>521</v>
      </c>
      <c r="M127" s="443">
        <f>Eingabe!L142</f>
        <v>-4</v>
      </c>
      <c r="N127" s="444"/>
      <c r="O127" s="96" t="s">
        <v>344</v>
      </c>
      <c r="P127" s="94">
        <f>Eingabe!O142+Eingabe!P142</f>
        <v>0</v>
      </c>
      <c r="Q127" s="37">
        <f>Weisheit_Mod</f>
        <v>-4</v>
      </c>
      <c r="R127" s="87" t="s">
        <v>345</v>
      </c>
      <c r="S127" s="37" t="str">
        <f>Eingabe!T142</f>
        <v>M</v>
      </c>
      <c r="T127" s="87" t="s">
        <v>345</v>
      </c>
      <c r="U127" s="37">
        <f>Eingabe!V142</f>
        <v>0</v>
      </c>
      <c r="W127" s="91" t="str">
        <f>IF(Zwischenwerte!C482=TRUE,"x","q ")</f>
        <v>q </v>
      </c>
      <c r="X127" s="216" t="s">
        <v>89</v>
      </c>
      <c r="Y127" s="39"/>
      <c r="Z127" s="39"/>
      <c r="AA127" s="39"/>
      <c r="AB127" s="104"/>
      <c r="AC127" s="39"/>
      <c r="AD127" s="443">
        <f>IF(AG127&gt;0,Eingabe!AE142,"")</f>
      </c>
      <c r="AE127" s="444"/>
      <c r="AF127" s="96" t="s">
        <v>344</v>
      </c>
      <c r="AG127" s="94">
        <f>Eingabe!AH142+Eingabe!AI142</f>
        <v>0</v>
      </c>
      <c r="AH127" s="37">
        <f>Klugheit_Mod</f>
        <v>-4</v>
      </c>
      <c r="AI127" s="87" t="s">
        <v>345</v>
      </c>
      <c r="AJ127" s="37">
        <f>Eingabe!AM142</f>
        <v>0</v>
      </c>
      <c r="AK127" s="87" t="s">
        <v>345</v>
      </c>
      <c r="AL127" s="37">
        <f>Eingabe!AO142</f>
        <v>0</v>
      </c>
    </row>
    <row r="128" spans="2:38" ht="3" customHeight="1">
      <c r="B128" s="215"/>
      <c r="J128" s="237"/>
      <c r="V128" s="39"/>
      <c r="W128" s="103"/>
      <c r="X128" s="39"/>
      <c r="Y128" s="39"/>
      <c r="Z128" s="39"/>
      <c r="AA128" s="39"/>
      <c r="AB128" s="104"/>
      <c r="AC128" s="39"/>
      <c r="AD128" s="97"/>
      <c r="AE128" s="97"/>
      <c r="AF128" s="96"/>
      <c r="AG128" s="84"/>
      <c r="AH128" s="84"/>
      <c r="AI128" s="87"/>
      <c r="AJ128" s="84"/>
      <c r="AK128" s="87"/>
      <c r="AL128" s="84"/>
    </row>
    <row r="129" spans="1:38" ht="18" customHeight="1">
      <c r="A129" s="91" t="str">
        <f>IF(Zwischenwerte!B64=TRUE,"x","q ")</f>
        <v>q </v>
      </c>
      <c r="B129" s="215" t="s">
        <v>527</v>
      </c>
      <c r="J129" s="253" t="s">
        <v>23</v>
      </c>
      <c r="K129" s="91" t="s">
        <v>521</v>
      </c>
      <c r="L129" s="91" t="s">
        <v>522</v>
      </c>
      <c r="M129" s="451"/>
      <c r="N129" s="451"/>
      <c r="O129" s="96"/>
      <c r="P129" s="87"/>
      <c r="Q129" s="87"/>
      <c r="R129" s="87"/>
      <c r="S129" s="87"/>
      <c r="T129" s="87"/>
      <c r="U129" s="87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</row>
    <row r="130" spans="1:38" ht="3" customHeight="1">
      <c r="A130" s="91"/>
      <c r="B130" s="215"/>
      <c r="J130" s="253"/>
      <c r="K130" s="91"/>
      <c r="L130" s="91"/>
      <c r="M130" s="73"/>
      <c r="N130" s="73"/>
      <c r="O130" s="96"/>
      <c r="P130" s="87"/>
      <c r="Q130" s="87"/>
      <c r="R130" s="87"/>
      <c r="S130" s="87"/>
      <c r="T130" s="87"/>
      <c r="U130" s="87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</row>
    <row r="131" spans="1:38" ht="18" customHeight="1">
      <c r="A131" s="91" t="str">
        <f>IF(Zwischenwerte!B65=TRUE,"x","q ")</f>
        <v>q </v>
      </c>
      <c r="B131" s="215" t="s">
        <v>503</v>
      </c>
      <c r="J131" s="253" t="s">
        <v>23</v>
      </c>
      <c r="K131" s="91" t="s">
        <v>521</v>
      </c>
      <c r="M131" s="443">
        <f>Eingabe!L144</f>
        <v>-4</v>
      </c>
      <c r="N131" s="444"/>
      <c r="O131" s="96" t="s">
        <v>344</v>
      </c>
      <c r="P131" s="94">
        <f>Eingabe!O144+Eingabe!P144</f>
        <v>0</v>
      </c>
      <c r="Q131" s="94">
        <f>$J$31</f>
        <v>-4</v>
      </c>
      <c r="R131" s="87" t="s">
        <v>345</v>
      </c>
      <c r="S131" s="37">
        <f>Eingabe!T144</f>
        <v>0</v>
      </c>
      <c r="T131" s="87" t="s">
        <v>345</v>
      </c>
      <c r="U131" s="37">
        <f>Eingabe!V144</f>
        <v>0</v>
      </c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</row>
    <row r="132" spans="1:38" ht="3" customHeight="1">
      <c r="A132" s="91"/>
      <c r="B132" s="215"/>
      <c r="J132" s="253"/>
      <c r="K132" s="91"/>
      <c r="M132" s="97"/>
      <c r="N132" s="97"/>
      <c r="O132" s="96"/>
      <c r="P132" s="84"/>
      <c r="Q132" s="84"/>
      <c r="R132" s="87"/>
      <c r="S132" s="84"/>
      <c r="T132" s="87"/>
      <c r="U132" s="84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</row>
    <row r="133" spans="1:38" ht="18" customHeight="1">
      <c r="A133" s="91" t="str">
        <f>IF(Zwischenwerte!B66=TRUE,"x","q ")</f>
        <v>q </v>
      </c>
      <c r="B133" s="215" t="s">
        <v>505</v>
      </c>
      <c r="J133" s="253" t="s">
        <v>240</v>
      </c>
      <c r="K133" s="91" t="s">
        <v>521</v>
      </c>
      <c r="M133" s="443">
        <f>Eingabe!L145</f>
        <v>-4</v>
      </c>
      <c r="N133" s="444"/>
      <c r="O133" s="96" t="s">
        <v>344</v>
      </c>
      <c r="P133" s="94">
        <f>Eingabe!O145+Eingabe!P145</f>
        <v>0</v>
      </c>
      <c r="Q133" s="37">
        <f>Gewandheit_Mod</f>
        <v>-4</v>
      </c>
      <c r="R133" s="87" t="s">
        <v>345</v>
      </c>
      <c r="S133" s="37">
        <f>Eingabe!T145</f>
        <v>0</v>
      </c>
      <c r="T133" s="87" t="s">
        <v>345</v>
      </c>
      <c r="U133" s="37">
        <f>Eingabe!V145</f>
        <v>0</v>
      </c>
      <c r="V133" s="39"/>
      <c r="W133" s="39"/>
      <c r="X133" s="39"/>
      <c r="Y133" s="39"/>
      <c r="Z133" s="254" t="s">
        <v>347</v>
      </c>
      <c r="AA133" s="39"/>
      <c r="AB133" s="39"/>
      <c r="AC133" s="106"/>
      <c r="AD133" s="106"/>
      <c r="AE133" s="106"/>
      <c r="AF133" s="106"/>
      <c r="AG133" s="106"/>
      <c r="AH133" s="106"/>
      <c r="AI133" s="255">
        <f>$F$3+3</f>
        <v>4</v>
      </c>
      <c r="AJ133" s="256" t="s">
        <v>348</v>
      </c>
      <c r="AK133" s="255">
        <f>AI133/2</f>
        <v>2</v>
      </c>
      <c r="AL133" s="39"/>
    </row>
    <row r="134" spans="1:38" ht="3" customHeight="1">
      <c r="A134" s="91"/>
      <c r="B134" s="215"/>
      <c r="J134" s="253"/>
      <c r="K134" s="91"/>
      <c r="M134" s="97"/>
      <c r="N134" s="97"/>
      <c r="O134" s="96"/>
      <c r="P134" s="84"/>
      <c r="Q134" s="84"/>
      <c r="R134" s="87"/>
      <c r="S134" s="84"/>
      <c r="T134" s="87"/>
      <c r="U134" s="84"/>
      <c r="V134" s="39"/>
      <c r="W134" s="39"/>
      <c r="X134" s="39"/>
      <c r="Y134" s="39"/>
      <c r="Z134" s="105"/>
      <c r="AA134" s="39"/>
      <c r="AB134" s="39"/>
      <c r="AC134" s="106"/>
      <c r="AD134" s="106"/>
      <c r="AE134" s="106"/>
      <c r="AF134" s="106"/>
      <c r="AG134" s="106"/>
      <c r="AH134" s="106"/>
      <c r="AI134" s="107"/>
      <c r="AJ134" s="108"/>
      <c r="AK134" s="107"/>
      <c r="AL134" s="39"/>
    </row>
    <row r="135" spans="2:38" ht="18" customHeight="1">
      <c r="B135" s="215" t="s">
        <v>508</v>
      </c>
      <c r="J135" s="253" t="s">
        <v>20</v>
      </c>
      <c r="K135" s="451"/>
      <c r="L135" s="451"/>
      <c r="M135" s="96"/>
      <c r="N135" s="87"/>
      <c r="O135" s="87"/>
      <c r="P135" s="87"/>
      <c r="Q135" s="87"/>
      <c r="R135" s="87"/>
      <c r="S135" s="87"/>
      <c r="T135" s="39"/>
      <c r="U135" s="39"/>
      <c r="V135" s="39"/>
      <c r="W135" s="39"/>
      <c r="X135" s="39"/>
      <c r="Y135" s="39"/>
      <c r="Z135" s="39"/>
      <c r="AA135" s="39"/>
      <c r="AL135" s="39"/>
    </row>
    <row r="136" spans="2:38" ht="3" customHeight="1">
      <c r="B136" s="215"/>
      <c r="J136" s="237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</row>
    <row r="137" spans="1:22" ht="18" customHeight="1">
      <c r="A137" s="91" t="str">
        <f>IF(Zwischenwerte!B59=TRUE,"x","q ")</f>
        <v>q </v>
      </c>
      <c r="B137" s="215" t="s">
        <v>272</v>
      </c>
      <c r="J137" s="253" t="s">
        <v>20</v>
      </c>
      <c r="M137" s="456">
        <f>IF(P137&gt;0,Eingabe!L147,"")</f>
      </c>
      <c r="N137" s="444"/>
      <c r="O137" s="96" t="s">
        <v>344</v>
      </c>
      <c r="P137" s="37">
        <f>Eingabe!O147</f>
        <v>0</v>
      </c>
      <c r="Q137" s="37">
        <f>Klugheit_Mod</f>
        <v>-4</v>
      </c>
      <c r="R137" s="87" t="s">
        <v>345</v>
      </c>
      <c r="S137" s="37">
        <f>Eingabe!T147</f>
        <v>0</v>
      </c>
      <c r="T137" s="87" t="s">
        <v>345</v>
      </c>
      <c r="U137" s="37">
        <f>Eingabe!V147</f>
        <v>0</v>
      </c>
      <c r="V137" s="39"/>
    </row>
    <row r="138" spans="1:39" ht="18" customHeight="1">
      <c r="A138" s="91"/>
      <c r="B138" s="215"/>
      <c r="J138" s="92"/>
      <c r="M138" s="220"/>
      <c r="N138" s="97"/>
      <c r="O138" s="96"/>
      <c r="P138" s="84"/>
      <c r="Q138" s="84"/>
      <c r="R138" s="87"/>
      <c r="S138" s="84"/>
      <c r="T138" s="87"/>
      <c r="U138" s="84"/>
      <c r="V138" s="39"/>
      <c r="W138" s="75"/>
      <c r="X138" s="39"/>
      <c r="Y138" s="39"/>
      <c r="Z138" s="39"/>
      <c r="AA138" s="39"/>
      <c r="AB138" s="39"/>
      <c r="AD138" s="75"/>
      <c r="AI138" s="218"/>
      <c r="AJ138" s="218"/>
      <c r="AK138" s="218"/>
      <c r="AL138" s="218"/>
      <c r="AM138" s="218"/>
    </row>
    <row r="139" spans="1:39" ht="18" customHeight="1">
      <c r="A139" s="91"/>
      <c r="B139" s="215"/>
      <c r="J139" s="92"/>
      <c r="M139" s="220"/>
      <c r="N139" s="97"/>
      <c r="O139" s="96"/>
      <c r="P139" s="84"/>
      <c r="Q139" s="84"/>
      <c r="R139" s="87"/>
      <c r="S139" s="84"/>
      <c r="T139" s="87"/>
      <c r="U139" s="84"/>
      <c r="V139" s="39"/>
      <c r="W139" s="75"/>
      <c r="X139" s="39"/>
      <c r="Y139" s="39"/>
      <c r="Z139" s="39"/>
      <c r="AA139" s="39"/>
      <c r="AB139" s="39"/>
      <c r="AD139" s="75"/>
      <c r="AI139" s="218"/>
      <c r="AJ139" s="218"/>
      <c r="AK139" s="218"/>
      <c r="AL139" s="218"/>
      <c r="AM139" s="218"/>
    </row>
    <row r="140" spans="1:39" ht="18" customHeight="1">
      <c r="A140" s="248" t="str">
        <f>"Charakter von : "&amp;INDEX(Zwischenwerte!$A$22:$A$28,Zwischenwerte!$B$22,1)</f>
        <v>Charakter von : Anna</v>
      </c>
      <c r="B140" s="251"/>
      <c r="C140" s="251"/>
      <c r="D140" s="251"/>
      <c r="E140" s="248" t="s">
        <v>154</v>
      </c>
      <c r="F140" s="251"/>
      <c r="G140" s="248"/>
      <c r="H140" s="523">
        <f ca="1">NOW()</f>
        <v>38893.46679791667</v>
      </c>
      <c r="I140" s="523"/>
      <c r="J140" s="523"/>
      <c r="K140" s="248"/>
      <c r="L140" s="248"/>
      <c r="N140" s="286"/>
      <c r="O140" s="286"/>
      <c r="P140" s="286"/>
      <c r="Q140" s="286"/>
      <c r="R140" s="87"/>
      <c r="S140" s="84"/>
      <c r="T140" s="87"/>
      <c r="U140" s="84"/>
      <c r="V140" s="39"/>
      <c r="W140" s="75"/>
      <c r="X140" s="39"/>
      <c r="Y140" s="39"/>
      <c r="Z140" s="39"/>
      <c r="AA140" s="39"/>
      <c r="AB140" s="39"/>
      <c r="AD140" s="75"/>
      <c r="AI140" s="218"/>
      <c r="AJ140" s="218"/>
      <c r="AK140" s="218"/>
      <c r="AL140" s="218"/>
      <c r="AM140" s="218"/>
    </row>
    <row r="141" spans="1:39" ht="18" customHeight="1">
      <c r="A141" s="91"/>
      <c r="B141" s="215"/>
      <c r="J141" s="92"/>
      <c r="M141" s="220"/>
      <c r="N141" s="97"/>
      <c r="O141" s="96"/>
      <c r="P141" s="84"/>
      <c r="Q141" s="84"/>
      <c r="R141" s="87"/>
      <c r="S141" s="84"/>
      <c r="T141" s="87"/>
      <c r="U141" s="84"/>
      <c r="V141" s="39"/>
      <c r="W141" s="75"/>
      <c r="X141" s="39"/>
      <c r="Y141" s="39"/>
      <c r="Z141" s="39"/>
      <c r="AA141" s="39"/>
      <c r="AB141" s="39"/>
      <c r="AD141" s="75"/>
      <c r="AI141" s="218"/>
      <c r="AJ141" s="218"/>
      <c r="AK141" s="218"/>
      <c r="AL141" s="218"/>
      <c r="AM141" s="218"/>
    </row>
    <row r="142" spans="1:40" ht="20.25">
      <c r="A142" s="428" t="str">
        <f>"KAMPF &amp; AUSRÜSTUNG von "&amp;Eingabe!F4</f>
        <v>KAMPF &amp; AUSRÜSTUNG von </v>
      </c>
      <c r="B142" s="428"/>
      <c r="C142" s="428"/>
      <c r="D142" s="428"/>
      <c r="E142" s="428"/>
      <c r="F142" s="428"/>
      <c r="G142" s="428"/>
      <c r="H142" s="428"/>
      <c r="I142" s="428"/>
      <c r="J142" s="428"/>
      <c r="K142" s="428"/>
      <c r="L142" s="428"/>
      <c r="M142" s="428"/>
      <c r="N142" s="428"/>
      <c r="O142" s="428"/>
      <c r="P142" s="428"/>
      <c r="Q142" s="428"/>
      <c r="R142" s="428"/>
      <c r="S142" s="428"/>
      <c r="T142" s="428"/>
      <c r="U142" s="428"/>
      <c r="V142" s="428"/>
      <c r="W142" s="428"/>
      <c r="X142" s="428"/>
      <c r="Y142" s="428"/>
      <c r="Z142" s="428"/>
      <c r="AA142" s="428"/>
      <c r="AB142" s="428"/>
      <c r="AC142" s="428"/>
      <c r="AD142" s="428"/>
      <c r="AE142" s="428"/>
      <c r="AF142" s="428"/>
      <c r="AG142" s="428"/>
      <c r="AH142" s="428"/>
      <c r="AI142" s="428"/>
      <c r="AJ142" s="428"/>
      <c r="AK142" s="428"/>
      <c r="AL142" s="428"/>
      <c r="AM142" s="428"/>
      <c r="AN142" s="428"/>
    </row>
    <row r="143" spans="1:23" ht="16.5" customHeight="1">
      <c r="A143" s="242" t="s">
        <v>349</v>
      </c>
      <c r="I143" s="516" t="s">
        <v>643</v>
      </c>
      <c r="J143" s="516"/>
      <c r="W143" s="242" t="s">
        <v>528</v>
      </c>
    </row>
    <row r="144" spans="1:38" ht="16.5" customHeight="1">
      <c r="A144" s="235" t="s">
        <v>654</v>
      </c>
      <c r="E144" s="2"/>
      <c r="F144" s="443">
        <f>Eingabe!H155</f>
        <v>0</v>
      </c>
      <c r="G144" s="444"/>
      <c r="H144" s="2"/>
      <c r="I144" s="425"/>
      <c r="J144" s="426"/>
      <c r="K144" s="299"/>
      <c r="L144" s="299"/>
      <c r="M144" s="299"/>
      <c r="N144" s="299"/>
      <c r="O144" s="299"/>
      <c r="P144" s="299"/>
      <c r="Q144" s="299"/>
      <c r="R144" s="299"/>
      <c r="S144" s="299"/>
      <c r="T144" s="299"/>
      <c r="W144" s="6" t="s">
        <v>529</v>
      </c>
      <c r="Z144" s="249" t="s">
        <v>482</v>
      </c>
      <c r="AA144" s="228"/>
      <c r="AB144" s="249" t="s">
        <v>113</v>
      </c>
      <c r="AC144" s="228"/>
      <c r="AD144" s="249" t="s">
        <v>627</v>
      </c>
      <c r="AE144" s="228"/>
      <c r="AF144" s="249" t="s">
        <v>115</v>
      </c>
      <c r="AG144" s="228"/>
      <c r="AH144" s="249" t="s">
        <v>448</v>
      </c>
      <c r="AI144" s="228"/>
      <c r="AJ144" s="249" t="s">
        <v>114</v>
      </c>
      <c r="AK144" s="228"/>
      <c r="AL144" s="249" t="s">
        <v>114</v>
      </c>
    </row>
    <row r="145" spans="1:38" ht="3" customHeight="1">
      <c r="A145" s="235"/>
      <c r="E145" s="2"/>
      <c r="F145" s="111"/>
      <c r="G145" s="111"/>
      <c r="H145" s="2"/>
      <c r="I145" s="39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W145" s="6"/>
      <c r="Z145" s="109"/>
      <c r="AA145" s="110"/>
      <c r="AB145" s="109"/>
      <c r="AC145" s="110"/>
      <c r="AD145" s="109"/>
      <c r="AE145" s="110"/>
      <c r="AF145" s="109"/>
      <c r="AG145" s="110"/>
      <c r="AH145" s="109"/>
      <c r="AI145" s="110"/>
      <c r="AJ145" s="109"/>
      <c r="AK145" s="110"/>
      <c r="AL145" s="109"/>
    </row>
    <row r="146" spans="1:38" ht="16.5" customHeight="1">
      <c r="A146" s="235" t="s">
        <v>655</v>
      </c>
      <c r="E146" s="2"/>
      <c r="F146" s="443">
        <f>F144</f>
        <v>0</v>
      </c>
      <c r="G146" s="444"/>
      <c r="H146" s="2"/>
      <c r="I146" s="425"/>
      <c r="J146" s="426"/>
      <c r="K146" s="299"/>
      <c r="L146" s="299"/>
      <c r="M146" s="299"/>
      <c r="N146" s="299"/>
      <c r="O146" s="299"/>
      <c r="P146" s="299"/>
      <c r="Q146" s="299"/>
      <c r="R146" s="299"/>
      <c r="S146" s="299"/>
      <c r="T146" s="299"/>
      <c r="W146" s="443">
        <f>SUM(Z146,AB146,AD146,AF146,AH146,AJ146,AL146)</f>
        <v>-4</v>
      </c>
      <c r="X146" s="444"/>
      <c r="Y146" s="4" t="s">
        <v>344</v>
      </c>
      <c r="Z146" s="113">
        <f>Eingabe!G160</f>
        <v>0</v>
      </c>
      <c r="AA146" s="4" t="s">
        <v>345</v>
      </c>
      <c r="AB146" s="113">
        <f>Eingabe!Körpergröße</f>
        <v>0</v>
      </c>
      <c r="AC146" s="4" t="s">
        <v>345</v>
      </c>
      <c r="AD146" s="113">
        <f>Geschicklichkeit_Mod</f>
        <v>-4</v>
      </c>
      <c r="AE146" s="4" t="s">
        <v>345</v>
      </c>
      <c r="AF146" s="113">
        <f>Eingabe!M161</f>
        <v>0</v>
      </c>
      <c r="AG146" s="4" t="s">
        <v>345</v>
      </c>
      <c r="AH146" s="113">
        <f>Eingabe!O161</f>
        <v>0</v>
      </c>
      <c r="AI146" s="4" t="s">
        <v>345</v>
      </c>
      <c r="AJ146" s="113">
        <f>Eingabe!J160</f>
        <v>0</v>
      </c>
      <c r="AK146" s="4" t="s">
        <v>345</v>
      </c>
      <c r="AL146" s="113">
        <f>Eingabe!L160</f>
        <v>0</v>
      </c>
    </row>
    <row r="148" spans="1:31" ht="16.5" customHeight="1">
      <c r="A148" s="242" t="s">
        <v>530</v>
      </c>
      <c r="AE148" s="242" t="s">
        <v>536</v>
      </c>
    </row>
    <row r="149" spans="5:39" s="114" customFormat="1" ht="16.5" customHeight="1">
      <c r="E149" s="447" t="s">
        <v>116</v>
      </c>
      <c r="F149" s="447"/>
      <c r="G149" s="237"/>
      <c r="H149" s="447" t="s">
        <v>117</v>
      </c>
      <c r="I149" s="447"/>
      <c r="J149" s="237"/>
      <c r="K149" s="447" t="s">
        <v>119</v>
      </c>
      <c r="L149" s="447"/>
      <c r="M149" s="237"/>
      <c r="N149" s="447" t="s">
        <v>118</v>
      </c>
      <c r="O149" s="447"/>
      <c r="P149" s="237"/>
      <c r="Q149" s="249" t="s">
        <v>26</v>
      </c>
      <c r="R149" s="228"/>
      <c r="S149" s="249" t="s">
        <v>113</v>
      </c>
      <c r="T149" s="228"/>
      <c r="U149" s="248" t="s">
        <v>114</v>
      </c>
      <c r="V149" s="228"/>
      <c r="W149" s="248" t="s">
        <v>114</v>
      </c>
      <c r="X149" s="228"/>
      <c r="Y149" s="248" t="s">
        <v>114</v>
      </c>
      <c r="Z149" s="237"/>
      <c r="AA149" s="447" t="s">
        <v>626</v>
      </c>
      <c r="AB149" s="447"/>
      <c r="AC149" s="258"/>
      <c r="AD149" s="237"/>
      <c r="AE149" s="235" t="s">
        <v>529</v>
      </c>
      <c r="AF149" s="237"/>
      <c r="AG149" s="237"/>
      <c r="AH149" s="249" t="s">
        <v>627</v>
      </c>
      <c r="AI149" s="228"/>
      <c r="AJ149" s="249" t="s">
        <v>114</v>
      </c>
      <c r="AK149" s="228"/>
      <c r="AL149" s="249" t="s">
        <v>114</v>
      </c>
      <c r="AM149" s="4"/>
    </row>
    <row r="150" spans="1:38" ht="16.5" customHeight="1">
      <c r="A150" s="235" t="s">
        <v>531</v>
      </c>
      <c r="E150" s="465">
        <f>Eingabe!O168</f>
        <v>-4</v>
      </c>
      <c r="F150" s="466"/>
      <c r="G150" s="78"/>
      <c r="H150" s="478" t="str">
        <f>IF(Grundbonus-5&gt;1,E150-5,"Keine")</f>
        <v>Keine</v>
      </c>
      <c r="I150" s="466"/>
      <c r="J150" s="78"/>
      <c r="K150" s="478" t="str">
        <f>IF(Grundbonus-10&gt;1,E150-10,"Keine")</f>
        <v>Keine</v>
      </c>
      <c r="L150" s="466"/>
      <c r="M150" s="78"/>
      <c r="N150" s="478" t="str">
        <f>IF(Grundbonus-15&gt;1,E150-15,"Keine")</f>
        <v>Keine</v>
      </c>
      <c r="O150" s="466"/>
      <c r="P150" s="77" t="s">
        <v>344</v>
      </c>
      <c r="Q150" s="113">
        <f>Gewandheit_Mod</f>
        <v>-4</v>
      </c>
      <c r="R150" s="77" t="s">
        <v>345</v>
      </c>
      <c r="S150" s="113">
        <f>Eingabe!Körpergröße</f>
        <v>0</v>
      </c>
      <c r="T150" s="77" t="s">
        <v>345</v>
      </c>
      <c r="U150" s="113">
        <f>Eingabe!G168</f>
        <v>0</v>
      </c>
      <c r="V150" s="77" t="s">
        <v>345</v>
      </c>
      <c r="W150" s="113">
        <f>Eingabe!I168</f>
        <v>0</v>
      </c>
      <c r="X150" s="77" t="s">
        <v>345</v>
      </c>
      <c r="Y150" s="113">
        <f>Eingabe!K168</f>
        <v>0</v>
      </c>
      <c r="Z150" s="77" t="s">
        <v>345</v>
      </c>
      <c r="AA150" s="460">
        <f>Eingabe!Grundbonus</f>
        <v>0</v>
      </c>
      <c r="AB150" s="460"/>
      <c r="AE150" s="443">
        <f>Eingabe!D164</f>
        <v>-4</v>
      </c>
      <c r="AF150" s="444"/>
      <c r="AG150" s="77" t="s">
        <v>344</v>
      </c>
      <c r="AH150" s="113">
        <f>Geschicklichkeit_Mod</f>
        <v>-4</v>
      </c>
      <c r="AI150" s="77" t="s">
        <v>345</v>
      </c>
      <c r="AJ150" s="113">
        <f>Eingabe!I164</f>
        <v>0</v>
      </c>
      <c r="AK150" s="77" t="s">
        <v>345</v>
      </c>
      <c r="AL150" s="113">
        <f>Eingabe!K164</f>
        <v>0</v>
      </c>
    </row>
    <row r="151" spans="1:38" ht="3" customHeight="1">
      <c r="A151" s="235"/>
      <c r="E151" s="38"/>
      <c r="F151" s="38"/>
      <c r="G151" s="78"/>
      <c r="H151" s="38"/>
      <c r="I151" s="38"/>
      <c r="J151" s="78"/>
      <c r="K151" s="38"/>
      <c r="L151" s="38"/>
      <c r="M151" s="78"/>
      <c r="N151" s="38"/>
      <c r="O151" s="38"/>
      <c r="P151" s="77"/>
      <c r="Q151" s="113"/>
      <c r="R151" s="77"/>
      <c r="S151" s="113"/>
      <c r="T151" s="77"/>
      <c r="U151" s="113"/>
      <c r="V151" s="77"/>
      <c r="W151" s="113"/>
      <c r="X151" s="77"/>
      <c r="Y151" s="113"/>
      <c r="Z151" s="77"/>
      <c r="AA151" s="37"/>
      <c r="AB151" s="37"/>
      <c r="AE151" s="97"/>
      <c r="AF151" s="97"/>
      <c r="AG151" s="77"/>
      <c r="AH151" s="83"/>
      <c r="AI151" s="77"/>
      <c r="AJ151" s="83"/>
      <c r="AK151" s="77"/>
      <c r="AL151" s="83"/>
    </row>
    <row r="152" spans="1:28" ht="16.5" customHeight="1">
      <c r="A152" s="235" t="s">
        <v>532</v>
      </c>
      <c r="E152" s="465">
        <f>Eingabe!O169</f>
        <v>-4</v>
      </c>
      <c r="F152" s="466"/>
      <c r="G152" s="78"/>
      <c r="H152" s="478" t="str">
        <f>IF(Grundbonus-5&gt;1,E152-5,"Keine")</f>
        <v>Keine</v>
      </c>
      <c r="I152" s="466"/>
      <c r="J152" s="78"/>
      <c r="K152" s="478" t="str">
        <f>IF(Grundbonus-10&gt;1,E152-10,"Keine")</f>
        <v>Keine</v>
      </c>
      <c r="L152" s="466"/>
      <c r="M152" s="78"/>
      <c r="N152" s="478" t="str">
        <f>IF(Grundbonus-15&gt;1,E152-15,"Keine")</f>
        <v>Keine</v>
      </c>
      <c r="O152" s="466"/>
      <c r="P152" s="77" t="s">
        <v>344</v>
      </c>
      <c r="Q152" s="113">
        <f>Stärke_Mod</f>
        <v>-4</v>
      </c>
      <c r="R152" s="77" t="s">
        <v>345</v>
      </c>
      <c r="S152" s="113">
        <f>Eingabe!Körpergröße</f>
        <v>0</v>
      </c>
      <c r="T152" s="77" t="s">
        <v>345</v>
      </c>
      <c r="U152" s="113">
        <f>Eingabe!G169</f>
        <v>0</v>
      </c>
      <c r="V152" s="77" t="s">
        <v>345</v>
      </c>
      <c r="W152" s="113">
        <f>Eingabe!I169</f>
        <v>0</v>
      </c>
      <c r="X152" s="77" t="s">
        <v>345</v>
      </c>
      <c r="Y152" s="113">
        <f>Eingabe!K169</f>
        <v>0</v>
      </c>
      <c r="Z152" s="77" t="s">
        <v>345</v>
      </c>
      <c r="AA152" s="460">
        <f>Grundbonus</f>
        <v>0</v>
      </c>
      <c r="AB152" s="460"/>
    </row>
    <row r="154" ht="16.5" customHeight="1">
      <c r="A154" s="242" t="s">
        <v>533</v>
      </c>
    </row>
    <row r="155" spans="1:37" s="114" customFormat="1" ht="16.5" customHeight="1">
      <c r="A155" s="249" t="s">
        <v>95</v>
      </c>
      <c r="B155" s="249"/>
      <c r="C155" s="249"/>
      <c r="D155" s="249"/>
      <c r="E155" s="249"/>
      <c r="F155" s="249"/>
      <c r="G155" s="249"/>
      <c r="H155" s="249" t="s">
        <v>116</v>
      </c>
      <c r="I155" s="249"/>
      <c r="J155" s="249" t="s">
        <v>117</v>
      </c>
      <c r="K155" s="249"/>
      <c r="L155" s="249" t="s">
        <v>119</v>
      </c>
      <c r="M155" s="249"/>
      <c r="N155" s="249" t="s">
        <v>118</v>
      </c>
      <c r="O155" s="250"/>
      <c r="P155" s="447" t="s">
        <v>534</v>
      </c>
      <c r="Q155" s="447"/>
      <c r="R155" s="447"/>
      <c r="S155" s="249"/>
      <c r="T155" s="447" t="s">
        <v>535</v>
      </c>
      <c r="U155" s="447"/>
      <c r="V155" s="447"/>
      <c r="W155" s="447" t="s">
        <v>442</v>
      </c>
      <c r="X155" s="447"/>
      <c r="Y155" s="447"/>
      <c r="Z155" s="447"/>
      <c r="AA155" s="447" t="s">
        <v>121</v>
      </c>
      <c r="AB155" s="447"/>
      <c r="AC155" s="249"/>
      <c r="AD155" s="447" t="s">
        <v>122</v>
      </c>
      <c r="AE155" s="447"/>
      <c r="AF155" s="249"/>
      <c r="AG155" s="447" t="s">
        <v>124</v>
      </c>
      <c r="AH155" s="447"/>
      <c r="AI155" s="249"/>
      <c r="AJ155" s="447" t="s">
        <v>123</v>
      </c>
      <c r="AK155" s="447"/>
    </row>
    <row r="156" spans="1:37" ht="16.5" customHeight="1">
      <c r="A156" s="476" t="str">
        <f>INDEX(Zwischenwerte!$D$2:$J$83,Zwischenwerte!$K$2,1)</f>
        <v>Unbewaffnet</v>
      </c>
      <c r="B156" s="476"/>
      <c r="C156" s="476"/>
      <c r="D156" s="476"/>
      <c r="E156" s="476"/>
      <c r="F156" s="476"/>
      <c r="G156" s="80"/>
      <c r="H156" s="116">
        <f>Eingabe!J173</f>
        <v>0</v>
      </c>
      <c r="I156" s="80"/>
      <c r="J156" s="116" t="str">
        <f>Eingabe!L173</f>
        <v>-</v>
      </c>
      <c r="K156" s="117"/>
      <c r="L156" s="116" t="str">
        <f>Eingabe!N173</f>
        <v>-</v>
      </c>
      <c r="M156" s="117"/>
      <c r="N156" s="116" t="str">
        <f>Eingabe!P173</f>
        <v>-</v>
      </c>
      <c r="O156" s="80"/>
      <c r="P156" s="445" t="str">
        <f>INDEX(Zwischenwerte!$D$2:$J$83,Zwischenwerte!$K$2,7)</f>
        <v>Wucht</v>
      </c>
      <c r="Q156" s="445"/>
      <c r="R156" s="445"/>
      <c r="S156" s="78"/>
      <c r="T156" s="445" t="str">
        <f>IF(Zwischenwerte!B18=1,INDEX(Zwischenwerte!$D$2:$J$83,Zwischenwerte!$K$2,2),INDEX(Zwischenwerte!$D$2:$J$83,Zwischenwerte!$K$2,3))</f>
        <v>1W3</v>
      </c>
      <c r="U156" s="445"/>
      <c r="V156" s="445"/>
      <c r="W156" s="118"/>
      <c r="X156" s="445" t="str">
        <f>IF(Eingabe!R173&gt;0,"+"&amp;Eingabe!R173," "&amp;Eingabe!R173)</f>
        <v> </v>
      </c>
      <c r="Y156" s="445"/>
      <c r="Z156" s="118"/>
      <c r="AA156" s="445" t="str">
        <f>INDEX(Zwischenwerte!$D$2:$J$83,Zwischenwerte!$K$2,4)</f>
        <v>x2</v>
      </c>
      <c r="AB156" s="445"/>
      <c r="AC156" s="118"/>
      <c r="AD156" s="445">
        <f>IF(INDEX(Zwischenwerte!$D$2:$J$83,Zwischenwerte!$K$2,5)&gt;0,INDEX(Zwischenwerte!$D$2:$J$83,Zwischenwerte!$K$2,5)&amp;"m","")</f>
      </c>
      <c r="AE156" s="445"/>
      <c r="AF156" s="118"/>
      <c r="AG156" s="445"/>
      <c r="AH156" s="445"/>
      <c r="AI156" s="118"/>
      <c r="AJ156" s="445">
        <f>IF(INDEX(Zwischenwerte!$D$2:$J$83,Zwischenwerte!$K$2,6)&gt;0,INDEX(Zwischenwerte!$D$2:$J$83,Zwischenwerte!$K$2,6)&amp;" kg","")</f>
      </c>
      <c r="AK156" s="445"/>
    </row>
    <row r="157" spans="1:37" ht="3" customHeight="1">
      <c r="A157" s="119"/>
      <c r="B157" s="119"/>
      <c r="C157" s="119"/>
      <c r="D157" s="119"/>
      <c r="E157" s="119"/>
      <c r="F157" s="119"/>
      <c r="G157" s="80"/>
      <c r="H157" s="74"/>
      <c r="I157" s="80"/>
      <c r="J157" s="74"/>
      <c r="K157" s="117"/>
      <c r="L157" s="74"/>
      <c r="M157" s="117"/>
      <c r="N157" s="74"/>
      <c r="O157" s="80"/>
      <c r="P157" s="120"/>
      <c r="Q157" s="120"/>
      <c r="R157" s="120"/>
      <c r="S157" s="78"/>
      <c r="T157" s="120"/>
      <c r="U157" s="120"/>
      <c r="V157" s="120"/>
      <c r="W157" s="118"/>
      <c r="X157" s="120"/>
      <c r="Y157" s="120"/>
      <c r="Z157" s="118"/>
      <c r="AA157" s="120"/>
      <c r="AB157" s="120"/>
      <c r="AC157" s="118"/>
      <c r="AD157" s="120"/>
      <c r="AE157" s="120"/>
      <c r="AF157" s="118"/>
      <c r="AG157" s="120"/>
      <c r="AH157" s="120"/>
      <c r="AI157" s="118"/>
      <c r="AJ157" s="120"/>
      <c r="AK157" s="120"/>
    </row>
    <row r="158" spans="1:37" ht="16.5" customHeight="1">
      <c r="A158" s="476" t="str">
        <f>INDEX(Zwischenwerte!$D$2:$J$83,Zwischenwerte!$K$3,1)</f>
        <v>Keine</v>
      </c>
      <c r="B158" s="476"/>
      <c r="C158" s="476"/>
      <c r="D158" s="476"/>
      <c r="E158" s="476"/>
      <c r="F158" s="476"/>
      <c r="G158" s="80"/>
      <c r="H158" s="121">
        <f>Eingabe!J174</f>
        <v>0</v>
      </c>
      <c r="I158" s="80"/>
      <c r="J158" s="116" t="str">
        <f>Eingabe!L174</f>
        <v>-</v>
      </c>
      <c r="K158" s="117"/>
      <c r="L158" s="116" t="str">
        <f>Eingabe!N174</f>
        <v>-</v>
      </c>
      <c r="M158" s="117"/>
      <c r="N158" s="116" t="str">
        <f>Eingabe!P174</f>
        <v>-</v>
      </c>
      <c r="O158" s="80"/>
      <c r="P158" s="445">
        <f>INDEX(Zwischenwerte!$D$2:$J$83,Zwischenwerte!$K$3,7)</f>
      </c>
      <c r="Q158" s="445"/>
      <c r="R158" s="445"/>
      <c r="S158" s="78"/>
      <c r="T158" s="445" t="str">
        <f>IF(Zwischenwerte!B18=1,INDEX(Zwischenwerte!$D$2:$J$83,Zwischenwerte!$K$3,2),INDEX(Zwischenwerte!$D$2:$J$83,Zwischenwerte!$K$3,3))</f>
        <v> </v>
      </c>
      <c r="U158" s="445"/>
      <c r="V158" s="445"/>
      <c r="W158" s="118"/>
      <c r="X158" s="445">
        <f>IF(Eingabe!R174&gt;0,"+"&amp;Eingabe!R174,""&amp;Eingabe!R174)</f>
      </c>
      <c r="Y158" s="445"/>
      <c r="Z158" s="118"/>
      <c r="AA158" s="445">
        <f>INDEX(Zwischenwerte!$D$2:$J$83,Zwischenwerte!$K$3,4)</f>
      </c>
      <c r="AB158" s="445"/>
      <c r="AC158" s="118"/>
      <c r="AD158" s="445">
        <f>IF(INDEX(Zwischenwerte!$D$2:$J$83,Zwischenwerte!$K$3,5)&gt;0,INDEX(Zwischenwerte!$D$2:$J$83,Zwischenwerte!$K$3,5)&amp;"m","")</f>
      </c>
      <c r="AE158" s="445"/>
      <c r="AF158" s="118"/>
      <c r="AG158" s="445"/>
      <c r="AH158" s="445"/>
      <c r="AI158" s="118"/>
      <c r="AJ158" s="445">
        <f>IF(INDEX(Zwischenwerte!$D$2:$J$83,Zwischenwerte!$K$3,6)&gt;0,INDEX(Zwischenwerte!$D$2:$J$83,Zwischenwerte!$K$3,6)&amp;" kg","")</f>
      </c>
      <c r="AK158" s="445"/>
    </row>
    <row r="159" spans="1:37" ht="3" customHeight="1">
      <c r="A159" s="477"/>
      <c r="B159" s="477"/>
      <c r="C159" s="477"/>
      <c r="D159" s="477"/>
      <c r="E159" s="477"/>
      <c r="F159" s="477"/>
      <c r="G159" s="80"/>
      <c r="H159" s="74"/>
      <c r="I159" s="80"/>
      <c r="J159" s="74"/>
      <c r="K159" s="117"/>
      <c r="L159" s="74"/>
      <c r="M159" s="117"/>
      <c r="N159" s="74"/>
      <c r="O159" s="80"/>
      <c r="P159" s="446"/>
      <c r="Q159" s="446"/>
      <c r="R159" s="446"/>
      <c r="S159" s="78"/>
      <c r="T159" s="120"/>
      <c r="U159" s="120"/>
      <c r="V159" s="120"/>
      <c r="W159" s="118"/>
      <c r="X159" s="446"/>
      <c r="Y159" s="446"/>
      <c r="Z159" s="118"/>
      <c r="AA159" s="446"/>
      <c r="AB159" s="446"/>
      <c r="AC159" s="118"/>
      <c r="AD159" s="446"/>
      <c r="AE159" s="446"/>
      <c r="AF159" s="118"/>
      <c r="AG159" s="446"/>
      <c r="AH159" s="446"/>
      <c r="AI159" s="118"/>
      <c r="AJ159" s="446"/>
      <c r="AK159" s="446"/>
    </row>
    <row r="160" spans="1:37" ht="16.5" customHeight="1">
      <c r="A160" s="476" t="str">
        <f>INDEX(Zwischenwerte!$D$2:$J$83,Zwischenwerte!$K$4,1)</f>
        <v>Keine</v>
      </c>
      <c r="B160" s="476"/>
      <c r="C160" s="476"/>
      <c r="D160" s="476"/>
      <c r="E160" s="476"/>
      <c r="F160" s="476"/>
      <c r="G160" s="80"/>
      <c r="H160" s="121">
        <f>Eingabe!J175</f>
        <v>0</v>
      </c>
      <c r="I160" s="80"/>
      <c r="J160" s="116" t="str">
        <f>Eingabe!L175</f>
        <v>-</v>
      </c>
      <c r="K160" s="117"/>
      <c r="L160" s="116" t="str">
        <f>Eingabe!N177</f>
        <v>-</v>
      </c>
      <c r="M160" s="117"/>
      <c r="N160" s="116" t="str">
        <f>Eingabe!P177</f>
        <v>-</v>
      </c>
      <c r="O160" s="80"/>
      <c r="P160" s="445">
        <f>INDEX(Zwischenwerte!$D$2:$J$83,Zwischenwerte!$K$4,7)</f>
      </c>
      <c r="Q160" s="445"/>
      <c r="R160" s="445"/>
      <c r="S160" s="78"/>
      <c r="T160" s="445" t="str">
        <f>IF(Zwischenwerte!B18=1,INDEX(Zwischenwerte!$D$2:$J$83,Zwischenwerte!$K$4,2),INDEX(Zwischenwerte!$D$2:$J$83,Zwischenwerte!$K$4,3))</f>
        <v> </v>
      </c>
      <c r="U160" s="445"/>
      <c r="V160" s="445"/>
      <c r="W160" s="118"/>
      <c r="X160" s="445" t="str">
        <f>IF(Eingabe!R175&gt;0,"+"&amp;Eingabe!R175," "&amp;Eingabe!R175)</f>
        <v> </v>
      </c>
      <c r="Y160" s="445"/>
      <c r="Z160" s="118"/>
      <c r="AA160" s="445">
        <f>INDEX(Zwischenwerte!$D$2:$J$83,Zwischenwerte!$K$4,4)</f>
      </c>
      <c r="AB160" s="445"/>
      <c r="AC160" s="118"/>
      <c r="AD160" s="445">
        <f>IF(INDEX(Zwischenwerte!$D$2:$J$83,Zwischenwerte!$K$4,5)&gt;0,INDEX(Zwischenwerte!$D$2:$J$83,Zwischenwerte!$K$4,5)&amp;"m","")</f>
      </c>
      <c r="AE160" s="445"/>
      <c r="AF160" s="118"/>
      <c r="AG160" s="445"/>
      <c r="AH160" s="445"/>
      <c r="AI160" s="118"/>
      <c r="AJ160" s="445">
        <f>IF(INDEX(Zwischenwerte!$D$2:$J$83,Zwischenwerte!$K$4,6)&gt;0,INDEX(Zwischenwerte!$D$2:$J$83,Zwischenwerte!$K$4,6)&amp;" kg","")</f>
      </c>
      <c r="AK160" s="445"/>
    </row>
    <row r="161" spans="1:37" ht="3" customHeight="1">
      <c r="A161" s="477"/>
      <c r="B161" s="477"/>
      <c r="C161" s="477"/>
      <c r="D161" s="477"/>
      <c r="E161" s="477"/>
      <c r="F161" s="477"/>
      <c r="G161" s="80"/>
      <c r="H161" s="74"/>
      <c r="I161" s="80"/>
      <c r="J161" s="74"/>
      <c r="K161" s="117"/>
      <c r="L161" s="74"/>
      <c r="M161" s="117"/>
      <c r="N161" s="74"/>
      <c r="O161" s="80"/>
      <c r="P161" s="446"/>
      <c r="Q161" s="446"/>
      <c r="R161" s="446"/>
      <c r="S161" s="78"/>
      <c r="T161" s="120"/>
      <c r="U161" s="120"/>
      <c r="V161" s="120"/>
      <c r="W161" s="118"/>
      <c r="X161" s="446"/>
      <c r="Y161" s="446"/>
      <c r="Z161" s="118"/>
      <c r="AA161" s="446"/>
      <c r="AB161" s="446"/>
      <c r="AC161" s="118"/>
      <c r="AD161" s="446"/>
      <c r="AE161" s="446"/>
      <c r="AF161" s="118"/>
      <c r="AG161" s="446"/>
      <c r="AH161" s="446"/>
      <c r="AI161" s="118"/>
      <c r="AJ161" s="446"/>
      <c r="AK161" s="446"/>
    </row>
    <row r="162" spans="1:37" ht="16.5" customHeight="1">
      <c r="A162" s="476" t="str">
        <f>INDEX(Zwischenwerte!$D$2:$J$83,Zwischenwerte!$K$5,1)</f>
        <v>Keine</v>
      </c>
      <c r="B162" s="476"/>
      <c r="C162" s="476"/>
      <c r="D162" s="476"/>
      <c r="E162" s="476"/>
      <c r="F162" s="476"/>
      <c r="G162" s="80"/>
      <c r="H162" s="121">
        <f>Eingabe!J176</f>
        <v>0</v>
      </c>
      <c r="I162" s="80"/>
      <c r="J162" s="116" t="str">
        <f>Eingabe!L176</f>
        <v>-</v>
      </c>
      <c r="K162" s="117"/>
      <c r="L162" s="116" t="str">
        <f>Eingabe!N176</f>
        <v>-</v>
      </c>
      <c r="M162" s="117"/>
      <c r="N162" s="116" t="str">
        <f>Eingabe!P176</f>
        <v>-</v>
      </c>
      <c r="O162" s="80"/>
      <c r="P162" s="445">
        <f>INDEX(Zwischenwerte!$D$2:$J$83,Zwischenwerte!$K$5,7)</f>
      </c>
      <c r="Q162" s="445"/>
      <c r="R162" s="445"/>
      <c r="S162" s="78"/>
      <c r="T162" s="445" t="str">
        <f>IF(Zwischenwerte!B18=1,INDEX(Zwischenwerte!$D$2:$J$83,Zwischenwerte!$K$5,2),INDEX(Zwischenwerte!$D$2:$J$83,Zwischenwerte!$K$5,3))</f>
        <v> </v>
      </c>
      <c r="U162" s="445"/>
      <c r="V162" s="445"/>
      <c r="W162" s="118"/>
      <c r="X162" s="445">
        <f>IF(Eingabe!R176&gt;0,"+"&amp;Eingabe!R176,""&amp;Eingabe!R176)</f>
      </c>
      <c r="Y162" s="445"/>
      <c r="Z162" s="118"/>
      <c r="AA162" s="445">
        <f>INDEX(Zwischenwerte!$D$2:$J$83,Zwischenwerte!$K$5,4)</f>
      </c>
      <c r="AB162" s="445"/>
      <c r="AC162" s="118"/>
      <c r="AD162" s="445">
        <f>IF(INDEX(Zwischenwerte!$D$2:$J$83,Zwischenwerte!$K$5,5)&gt;0,INDEX(Zwischenwerte!$D$2:$J$83,Zwischenwerte!$K$5,5)&amp;"m","")</f>
      </c>
      <c r="AE162" s="445"/>
      <c r="AF162" s="118"/>
      <c r="AG162" s="445"/>
      <c r="AH162" s="445"/>
      <c r="AI162" s="118"/>
      <c r="AJ162" s="445">
        <f>IF(INDEX(Zwischenwerte!$D$2:$J$83,Zwischenwerte!$K$5,6)&gt;0,INDEX(Zwischenwerte!$D$2:$J$83,Zwischenwerte!$K$5,6)&amp;" kg","")</f>
      </c>
      <c r="AK162" s="445"/>
    </row>
    <row r="163" spans="1:37" ht="3" customHeight="1">
      <c r="A163" s="119"/>
      <c r="B163" s="119"/>
      <c r="C163" s="119"/>
      <c r="D163" s="119"/>
      <c r="E163" s="119"/>
      <c r="F163" s="119"/>
      <c r="G163" s="80"/>
      <c r="H163" s="120"/>
      <c r="I163" s="80"/>
      <c r="J163" s="120"/>
      <c r="K163" s="122"/>
      <c r="L163" s="120"/>
      <c r="M163" s="122"/>
      <c r="N163" s="120"/>
      <c r="O163" s="80"/>
      <c r="P163" s="120"/>
      <c r="Q163" s="120"/>
      <c r="R163" s="120"/>
      <c r="S163" s="84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</row>
    <row r="164" spans="1:37" ht="16.5" customHeight="1">
      <c r="A164" s="476" t="str">
        <f>INDEX(Zwischenwerte!$D$2:$J$83,Zwischenwerte!$K$6,1)</f>
        <v>Keine</v>
      </c>
      <c r="B164" s="476"/>
      <c r="C164" s="476"/>
      <c r="D164" s="476"/>
      <c r="E164" s="476"/>
      <c r="F164" s="476"/>
      <c r="G164" s="80"/>
      <c r="H164" s="121">
        <f>Eingabe!J177</f>
        <v>0</v>
      </c>
      <c r="I164" s="80"/>
      <c r="J164" s="116" t="str">
        <f>Eingabe!L176</f>
        <v>-</v>
      </c>
      <c r="K164" s="117"/>
      <c r="L164" s="116" t="str">
        <f>Eingabe!N176</f>
        <v>-</v>
      </c>
      <c r="M164" s="117"/>
      <c r="N164" s="116" t="str">
        <f>Eingabe!P176</f>
        <v>-</v>
      </c>
      <c r="O164" s="80"/>
      <c r="P164" s="445">
        <f>INDEX(Zwischenwerte!$D$2:$J$83,Zwischenwerte!$K$6,7)</f>
      </c>
      <c r="Q164" s="445"/>
      <c r="R164" s="445"/>
      <c r="S164" s="78"/>
      <c r="T164" s="445" t="str">
        <f>IF(Zwischenwerte!B18=1,INDEX(Zwischenwerte!$D$2:$J$83,Zwischenwerte!$K$6,2),INDEX(Zwischenwerte!$D$2:$J$83,Zwischenwerte!$K$6,3))</f>
        <v> </v>
      </c>
      <c r="U164" s="445"/>
      <c r="V164" s="445"/>
      <c r="W164" s="118"/>
      <c r="X164" s="445">
        <f>IF(Eingabe!R177&gt;0,"+"&amp;Eingabe!R177,""&amp;Eingabe!R177)</f>
      </c>
      <c r="Y164" s="445"/>
      <c r="Z164" s="118"/>
      <c r="AA164" s="445">
        <f>INDEX(Zwischenwerte!$D$2:$J$83,Zwischenwerte!$K$6,4)</f>
      </c>
      <c r="AB164" s="445"/>
      <c r="AC164" s="118"/>
      <c r="AD164" s="445">
        <f>IF(INDEX(Zwischenwerte!$D$2:$J$83,Zwischenwerte!$K$6,5)&gt;0,INDEX(Zwischenwerte!$D$2:$J$83,Zwischenwerte!$K$6,5)&amp;"m","")</f>
      </c>
      <c r="AE164" s="445"/>
      <c r="AF164" s="118"/>
      <c r="AG164" s="445"/>
      <c r="AH164" s="445"/>
      <c r="AI164" s="118"/>
      <c r="AJ164" s="445">
        <f>IF(INDEX(Zwischenwerte!$D$2:$J$83,Zwischenwerte!$K$6,6)&gt;0,INDEX(Zwischenwerte!$D$2:$J$83,Zwischenwerte!$K$6,6)&amp;" kg","")</f>
      </c>
      <c r="AK164" s="445"/>
    </row>
    <row r="165" spans="1:37" ht="16.5" customHeight="1">
      <c r="A165" s="119"/>
      <c r="B165" s="119"/>
      <c r="C165" s="119"/>
      <c r="D165" s="119"/>
      <c r="E165" s="119"/>
      <c r="F165" s="119"/>
      <c r="G165" s="80"/>
      <c r="H165" s="182"/>
      <c r="I165" s="80"/>
      <c r="J165" s="120"/>
      <c r="K165" s="117"/>
      <c r="L165" s="120"/>
      <c r="M165" s="117"/>
      <c r="N165" s="120"/>
      <c r="O165" s="80"/>
      <c r="P165" s="120"/>
      <c r="Q165" s="120"/>
      <c r="R165" s="120"/>
      <c r="S165" s="78"/>
      <c r="T165" s="120"/>
      <c r="U165" s="120"/>
      <c r="V165" s="120"/>
      <c r="W165" s="118"/>
      <c r="X165" s="120"/>
      <c r="Y165" s="120"/>
      <c r="Z165" s="118"/>
      <c r="AA165" s="120"/>
      <c r="AB165" s="120"/>
      <c r="AC165" s="118"/>
      <c r="AD165" s="120"/>
      <c r="AE165" s="120"/>
      <c r="AF165" s="118"/>
      <c r="AG165" s="120"/>
      <c r="AH165" s="120"/>
      <c r="AI165" s="118"/>
      <c r="AJ165" s="120"/>
      <c r="AK165" s="120"/>
    </row>
    <row r="166" spans="1:37" ht="16.5" customHeight="1">
      <c r="A166" s="242" t="s">
        <v>74</v>
      </c>
      <c r="AJ166" s="447" t="s">
        <v>123</v>
      </c>
      <c r="AK166" s="447"/>
    </row>
    <row r="167" spans="1:38" ht="16.5" customHeight="1">
      <c r="A167" s="442" t="str">
        <f>INDEX(Zwischenwerte!$A$70:$A$73,Zwischenwerte!C69,1)</f>
        <v>Keine</v>
      </c>
      <c r="B167" s="442"/>
      <c r="C167" s="442"/>
      <c r="D167" s="442"/>
      <c r="E167" s="442"/>
      <c r="F167" s="442"/>
      <c r="G167" s="123"/>
      <c r="H167" s="123"/>
      <c r="I167" s="123"/>
      <c r="J167" s="43">
        <f>IF(Zwischenwerte!$I86=TRUE,"q","")</f>
      </c>
      <c r="K167" s="43">
        <f>IF(Zwischenwerte!$I87=TRUE,"q","")</f>
      </c>
      <c r="L167" s="43">
        <f>IF(Zwischenwerte!$I88=TRUE,"q","")</f>
      </c>
      <c r="M167" s="43">
        <f>IF(Zwischenwerte!$I89=TRUE,"q","")</f>
      </c>
      <c r="N167" s="43">
        <f>IF(Zwischenwerte!$I90=TRUE,"q","")</f>
      </c>
      <c r="O167" s="43"/>
      <c r="P167" s="43">
        <f>IF(Zwischenwerte!$I91=TRUE,"q","")</f>
      </c>
      <c r="Q167" s="43">
        <f>IF(Zwischenwerte!$I92=TRUE,"q","")</f>
      </c>
      <c r="R167" s="43">
        <f>IF(Zwischenwerte!$I93=TRUE,"q","")</f>
      </c>
      <c r="S167" s="43">
        <f>IF(Zwischenwerte!$I94=TRUE,"q","")</f>
      </c>
      <c r="T167" s="43">
        <f>IF(Zwischenwerte!$I95=TRUE,"q","")</f>
      </c>
      <c r="U167" s="43"/>
      <c r="V167" s="43">
        <f>IF(Zwischenwerte!$I96=TRUE,"q","")</f>
      </c>
      <c r="W167" s="43">
        <f>IF(Zwischenwerte!$I97=TRUE,"q","")</f>
      </c>
      <c r="X167" s="43">
        <f>IF(Zwischenwerte!$I98=TRUE,"q","")</f>
      </c>
      <c r="Y167" s="43">
        <f>IF(Zwischenwerte!$I99=TRUE,"q","")</f>
      </c>
      <c r="Z167" s="43">
        <f>IF(Zwischenwerte!$I100=TRUE,"q","")</f>
      </c>
      <c r="AA167" s="44"/>
      <c r="AB167" s="43">
        <f>IF(Zwischenwerte!$I101=TRUE,"q","")</f>
      </c>
      <c r="AC167" s="43">
        <f>IF(Zwischenwerte!$I102=TRUE,"q","")</f>
      </c>
      <c r="AD167" s="43">
        <f>IF(Zwischenwerte!$I103=TRUE,"q","")</f>
      </c>
      <c r="AE167" s="43">
        <f>IF(Zwischenwerte!$I104=TRUE,"q","")</f>
      </c>
      <c r="AF167" s="43">
        <f>IF(Zwischenwerte!$I105=TRUE,"q","")</f>
      </c>
      <c r="AG167" s="44"/>
      <c r="AH167" s="43">
        <f>IF(Zwischenwerte!$I106=TRUE,"q","")</f>
      </c>
      <c r="AI167" s="43">
        <f>IF(Zwischenwerte!$I107=TRUE,"q","")</f>
      </c>
      <c r="AJ167" s="445">
        <f>IF(INDEX(Zwischenwerte!$A$70:$B$73,Zwischenwerte!$C69,2)&gt;0,INDEX(Zwischenwerte!$A$70:$B$73,Zwischenwerte!$C69,2)*Zwischenwerte!L106&amp;"kg","")</f>
      </c>
      <c r="AK167" s="445"/>
      <c r="AL167" s="43">
        <f>IF(Zwischenwerte!$I110=TRUE,"q","")</f>
      </c>
    </row>
    <row r="168" spans="1:38" ht="16.5" customHeight="1">
      <c r="A168" s="442" t="str">
        <f>INDEX(Zwischenwerte!$A$70:$A$73,Zwischenwerte!C70,1)</f>
        <v>Keine</v>
      </c>
      <c r="B168" s="442"/>
      <c r="C168" s="442"/>
      <c r="D168" s="442"/>
      <c r="E168" s="442"/>
      <c r="F168" s="442"/>
      <c r="G168" s="123"/>
      <c r="H168" s="123"/>
      <c r="J168" s="43">
        <f>IF(Zwischenwerte!$J$86=TRUE,"q","")</f>
      </c>
      <c r="K168" s="43">
        <f>IF(Zwischenwerte!$J$87=TRUE,"q","")</f>
      </c>
      <c r="L168" s="43">
        <f>IF(Zwischenwerte!$J$88=TRUE,"q","")</f>
      </c>
      <c r="M168" s="43">
        <f>IF(Zwischenwerte!$J$89=TRUE,"q","")</f>
      </c>
      <c r="N168" s="43">
        <f>IF(Zwischenwerte!$J$90=TRUE,"q","")</f>
      </c>
      <c r="P168" s="43">
        <f>IF(Zwischenwerte!$J$91=TRUE,"q","")</f>
      </c>
      <c r="Q168" s="43">
        <f>IF(Zwischenwerte!$J$92=TRUE,"q","")</f>
      </c>
      <c r="R168" s="43">
        <f>IF(Zwischenwerte!$J$93=TRUE,"q","")</f>
      </c>
      <c r="S168" s="43">
        <f>IF(Zwischenwerte!$J$94=TRUE,"q","")</f>
      </c>
      <c r="T168" s="43">
        <f>IF(Zwischenwerte!$J$95=TRUE,"q","")</f>
      </c>
      <c r="V168" s="43">
        <f>IF(Zwischenwerte!$J$96=TRUE,"q","")</f>
      </c>
      <c r="W168" s="43">
        <f>IF(Zwischenwerte!$J$97=TRUE,"q","")</f>
      </c>
      <c r="X168" s="43">
        <f>IF(Zwischenwerte!$J$98=TRUE,"q","")</f>
      </c>
      <c r="Y168" s="43">
        <f>IF(Zwischenwerte!$J$99=TRUE,"q","")</f>
      </c>
      <c r="Z168" s="43">
        <f>IF(Zwischenwerte!$J$100=TRUE,"q","")</f>
      </c>
      <c r="AB168" s="43">
        <f>IF(Zwischenwerte!$J$101=TRUE,"q","")</f>
      </c>
      <c r="AC168" s="43">
        <f>IF(Zwischenwerte!$J$102=TRUE,"q","")</f>
      </c>
      <c r="AD168" s="43">
        <f>IF(Zwischenwerte!$J$103=TRUE,"q","")</f>
      </c>
      <c r="AE168" s="43">
        <f>IF(Zwischenwerte!$J$104=TRUE,"q","")</f>
      </c>
      <c r="AF168" s="43">
        <f>IF(Zwischenwerte!$J$105=TRUE,"q","")</f>
      </c>
      <c r="AH168" s="43">
        <f>IF(Zwischenwerte!$J$106=TRUE,"q","")</f>
      </c>
      <c r="AI168" s="43">
        <f>IF(Zwischenwerte!$J$107=TRUE,"q","")</f>
      </c>
      <c r="AJ168" s="445">
        <f>IF(INDEX(Zwischenwerte!$A$70:$B$73,Zwischenwerte!$C70,2)&gt;0,INDEX(Zwischenwerte!$A$70:$B$73,Zwischenwerte!$C70,2)*Zwischenwerte!M106&amp;"kg","")</f>
      </c>
      <c r="AK168" s="445"/>
      <c r="AL168" s="43">
        <f>IF(Zwischenwerte!$J$110=TRUE,"q","")</f>
      </c>
    </row>
    <row r="169" spans="1:38" ht="16.5" customHeight="1">
      <c r="A169" s="442" t="str">
        <f>INDEX(Zwischenwerte!$A$70:$A$73,Zwischenwerte!C71,1)</f>
        <v>Keine</v>
      </c>
      <c r="B169" s="442"/>
      <c r="C169" s="442"/>
      <c r="D169" s="442"/>
      <c r="E169" s="442"/>
      <c r="F169" s="442"/>
      <c r="G169" s="123"/>
      <c r="H169" s="123"/>
      <c r="I169" s="123"/>
      <c r="J169" s="43">
        <f>IF(Zwischenwerte!$K$86=TRUE,"q","")</f>
      </c>
      <c r="K169" s="43">
        <f>IF(Zwischenwerte!$K$87=TRUE,"q","")</f>
      </c>
      <c r="L169" s="43">
        <f>IF(Zwischenwerte!$K$88=TRUE,"q","")</f>
      </c>
      <c r="M169" s="43">
        <f>IF(Zwischenwerte!$K$89=TRUE,"q","")</f>
      </c>
      <c r="N169" s="43">
        <f>IF(Zwischenwerte!$K$90=TRUE,"q","")</f>
      </c>
      <c r="P169" s="43">
        <f>IF(Zwischenwerte!$K$91=TRUE,"q","")</f>
      </c>
      <c r="Q169" s="43">
        <f>IF(Zwischenwerte!$K$92=TRUE,"q","")</f>
      </c>
      <c r="R169" s="43">
        <f>IF(Zwischenwerte!$K$93=TRUE,"q","")</f>
      </c>
      <c r="S169" s="43">
        <f>IF(Zwischenwerte!$K$94=TRUE,"q","")</f>
      </c>
      <c r="T169" s="43">
        <f>IF(Zwischenwerte!$K$95=TRUE,"q","")</f>
      </c>
      <c r="V169" s="43">
        <f>IF(Zwischenwerte!$K$96=TRUE,"q","")</f>
      </c>
      <c r="W169" s="43">
        <f>IF(Zwischenwerte!$K$97=TRUE,"q","")</f>
      </c>
      <c r="X169" s="43">
        <f>IF(Zwischenwerte!$K$98=TRUE,"q","")</f>
      </c>
      <c r="Y169" s="43">
        <f>IF(Zwischenwerte!$K$99=TRUE,"q","")</f>
      </c>
      <c r="Z169" s="43">
        <f>IF(Zwischenwerte!$K$100=TRUE,"q","")</f>
      </c>
      <c r="AB169" s="43">
        <f>IF(Zwischenwerte!$K$101=TRUE,"q","")</f>
      </c>
      <c r="AC169" s="43">
        <f>IF(Zwischenwerte!$K$102=TRUE,"q","")</f>
      </c>
      <c r="AD169" s="43">
        <f>IF(Zwischenwerte!$K$103=TRUE,"q","")</f>
      </c>
      <c r="AE169" s="43">
        <f>IF(Zwischenwerte!$K$104=TRUE,"q","")</f>
      </c>
      <c r="AF169" s="43">
        <f>IF(Zwischenwerte!$K$105=TRUE,"q","")</f>
      </c>
      <c r="AH169" s="43">
        <f>IF(Zwischenwerte!$K$106=TRUE,"q","")</f>
      </c>
      <c r="AI169" s="43">
        <f>IF(Zwischenwerte!$K$107=TRUE,"q","")</f>
      </c>
      <c r="AJ169" s="445">
        <f>IF(INDEX(Zwischenwerte!$A$70:$B$73,Zwischenwerte!$C71,2)&gt;0,INDEX(Zwischenwerte!$A$70:$B$73,Zwischenwerte!$C71,2)*Zwischenwerte!N106&amp;"kg","")</f>
      </c>
      <c r="AK169" s="445"/>
      <c r="AL169" s="43">
        <f>IF(Zwischenwerte!$K$110=TRUE,"q","")</f>
      </c>
    </row>
    <row r="170" spans="36:37" ht="16.5" customHeight="1">
      <c r="AJ170" s="446"/>
      <c r="AK170" s="446"/>
    </row>
    <row r="171" ht="16.5" customHeight="1">
      <c r="A171" s="242" t="s">
        <v>537</v>
      </c>
    </row>
    <row r="172" spans="1:29" ht="16.5" customHeight="1">
      <c r="A172" s="115" t="s">
        <v>95</v>
      </c>
      <c r="B172" s="115"/>
      <c r="C172" s="115"/>
      <c r="D172" s="115"/>
      <c r="E172" s="115"/>
      <c r="F172" s="115"/>
      <c r="G172" s="82"/>
      <c r="H172" s="447" t="s">
        <v>656</v>
      </c>
      <c r="I172" s="447"/>
      <c r="J172" s="447"/>
      <c r="K172" s="447" t="s">
        <v>195</v>
      </c>
      <c r="L172" s="480"/>
      <c r="M172" s="480"/>
      <c r="N172" s="480"/>
      <c r="O172" s="447" t="s">
        <v>125</v>
      </c>
      <c r="P172" s="447"/>
      <c r="Q172" s="447" t="s">
        <v>126</v>
      </c>
      <c r="R172" s="480"/>
      <c r="S172" s="480"/>
      <c r="T172" s="480"/>
      <c r="U172" s="447" t="s">
        <v>490</v>
      </c>
      <c r="V172" s="447"/>
      <c r="W172" s="248"/>
      <c r="X172" s="447" t="s">
        <v>123</v>
      </c>
      <c r="Y172" s="447"/>
      <c r="Z172" s="248"/>
      <c r="AA172" s="248" t="s">
        <v>539</v>
      </c>
      <c r="AB172" s="248"/>
      <c r="AC172" s="82"/>
    </row>
    <row r="173" spans="1:38" ht="16.5" customHeight="1">
      <c r="A173" s="442" t="str">
        <f>INDEX(Zwischenwerte!$A$155:$H$183,Zwischenwerte!$I$154,1)</f>
        <v>Keine</v>
      </c>
      <c r="B173" s="442"/>
      <c r="C173" s="442"/>
      <c r="D173" s="442"/>
      <c r="E173" s="442"/>
      <c r="F173" s="442"/>
      <c r="G173" s="80"/>
      <c r="H173" s="481">
        <f>INDEX(Zwischenwerte!$A$155:$J$183,Zwischenwerte!$I$154,10)</f>
        <v>0</v>
      </c>
      <c r="I173" s="461"/>
      <c r="J173" s="482"/>
      <c r="K173" s="124"/>
      <c r="L173" s="454">
        <f>INDEX(Zwischenwerte!$A$155:$H$183,Zwischenwerte!$I$154,3)</f>
        <v>0</v>
      </c>
      <c r="M173" s="454"/>
      <c r="N173" s="124"/>
      <c r="O173" s="454">
        <f>INDEX(Zwischenwerte!$A$155:$H$183,Zwischenwerte!$I$154,4)</f>
        <v>0</v>
      </c>
      <c r="P173" s="454"/>
      <c r="Q173" s="124"/>
      <c r="R173" s="454">
        <f>IF(INDEX(Zwischenwerte!$A$155:$H$183,Zwischenwerte!$I$154,5)&gt;0,INDEX(Zwischenwerte!$A$155:$H$183,Zwischenwerte!$I$154,5)&amp;"%","")</f>
      </c>
      <c r="S173" s="454"/>
      <c r="T173" s="124"/>
      <c r="U173" s="454">
        <f>INDEX(Zwischenwerte!$A$155:$H$183,Zwischenwerte!$I$154,6)</f>
        <v>0</v>
      </c>
      <c r="V173" s="454"/>
      <c r="W173" s="124"/>
      <c r="X173" s="454">
        <f>IF(INDEX(Zwischenwerte!$A$155:$H$183,Zwischenwerte!$I$154,8)&gt;0,INDEX(Zwischenwerte!$A$155:$H$183,Zwischenwerte!$I$154,8)&amp;"kg","")</f>
      </c>
      <c r="Y173" s="454"/>
      <c r="Z173" s="124"/>
      <c r="AA173" s="442">
        <f>Eingabe!M185</f>
        <v>0</v>
      </c>
      <c r="AB173" s="442"/>
      <c r="AC173" s="442"/>
      <c r="AD173" s="442"/>
      <c r="AE173" s="442"/>
      <c r="AF173" s="442"/>
      <c r="AG173" s="442"/>
      <c r="AH173" s="442"/>
      <c r="AI173" s="442"/>
      <c r="AJ173" s="442"/>
      <c r="AK173" s="442"/>
      <c r="AL173" s="442"/>
    </row>
    <row r="174" spans="1:38" ht="3" customHeight="1">
      <c r="A174" s="125"/>
      <c r="B174" s="125"/>
      <c r="C174" s="125"/>
      <c r="D174" s="125"/>
      <c r="E174" s="125"/>
      <c r="F174" s="125"/>
      <c r="G174" s="80"/>
      <c r="H174" s="126"/>
      <c r="I174" s="126"/>
      <c r="J174" s="126"/>
      <c r="K174" s="124"/>
      <c r="L174" s="126"/>
      <c r="M174" s="126"/>
      <c r="N174" s="124"/>
      <c r="O174" s="126"/>
      <c r="P174" s="126"/>
      <c r="Q174" s="124"/>
      <c r="R174" s="126"/>
      <c r="S174" s="126"/>
      <c r="T174" s="124"/>
      <c r="U174" s="126"/>
      <c r="V174" s="126"/>
      <c r="W174" s="124"/>
      <c r="X174" s="126"/>
      <c r="Y174" s="126"/>
      <c r="Z174" s="124"/>
      <c r="AA174" s="125"/>
      <c r="AB174" s="125"/>
      <c r="AC174" s="125"/>
      <c r="AD174" s="125"/>
      <c r="AE174" s="125"/>
      <c r="AF174" s="125"/>
      <c r="AG174" s="125"/>
      <c r="AH174" s="125"/>
      <c r="AI174" s="125"/>
      <c r="AJ174" s="125"/>
      <c r="AK174" s="125"/>
      <c r="AL174" s="125"/>
    </row>
    <row r="175" spans="1:38" s="39" customFormat="1" ht="16.5" customHeight="1">
      <c r="A175" s="442" t="str">
        <f>INDEX(Zwischenwerte!A155:A190,Zwischenwerte!I156,1)</f>
        <v>Keine</v>
      </c>
      <c r="B175" s="442"/>
      <c r="C175" s="442"/>
      <c r="D175" s="442"/>
      <c r="E175" s="442"/>
      <c r="F175" s="442"/>
      <c r="G175" s="80"/>
      <c r="H175" s="481">
        <f>INDEX(Zwischenwerte!$A$155:$J$183,Zwischenwerte!$I$156,10)</f>
        <v>0</v>
      </c>
      <c r="I175" s="461"/>
      <c r="J175" s="482"/>
      <c r="K175" s="124"/>
      <c r="L175" s="454">
        <f>INDEX(Zwischenwerte!$A$155:$H$183,Zwischenwerte!$I$156,3)</f>
        <v>0</v>
      </c>
      <c r="M175" s="454"/>
      <c r="N175" s="124"/>
      <c r="O175" s="454">
        <f>INDEX(Zwischenwerte!$A$155:$H$183,Zwischenwerte!$I$156,4)</f>
        <v>0</v>
      </c>
      <c r="P175" s="454"/>
      <c r="Q175" s="124"/>
      <c r="R175" s="454">
        <f>IF(INDEX(Zwischenwerte!$A$155:$H$183,Zwischenwerte!$I$156,5)&gt;0,INDEX(Zwischenwerte!$A$155:$H$183,Zwischenwerte!$I$156,5)&amp;"%","")</f>
      </c>
      <c r="S175" s="454"/>
      <c r="T175" s="124"/>
      <c r="U175" s="454">
        <f>INDEX(Zwischenwerte!$A$155:$H$183,Zwischenwerte!$I$156,6)</f>
        <v>0</v>
      </c>
      <c r="V175" s="454"/>
      <c r="W175" s="124"/>
      <c r="X175" s="454">
        <f>IF(INDEX(Zwischenwerte!$A$155:$H$183,Zwischenwerte!$I$156,8)&gt;0,INDEX(Zwischenwerte!$A$155:$H$183,Zwischenwerte!$I$156,8)&amp;"kg","")</f>
      </c>
      <c r="Y175" s="454"/>
      <c r="Z175" s="124"/>
      <c r="AA175" s="442">
        <f>Eingabe!M187</f>
        <v>0</v>
      </c>
      <c r="AB175" s="442"/>
      <c r="AC175" s="442"/>
      <c r="AD175" s="442"/>
      <c r="AE175" s="442"/>
      <c r="AF175" s="442"/>
      <c r="AG175" s="442"/>
      <c r="AH175" s="442"/>
      <c r="AI175" s="442"/>
      <c r="AJ175" s="442"/>
      <c r="AK175" s="442"/>
      <c r="AL175" s="442"/>
    </row>
    <row r="176" spans="1:38" s="39" customFormat="1" ht="3" customHeight="1">
      <c r="A176" s="125"/>
      <c r="B176" s="125"/>
      <c r="C176" s="125"/>
      <c r="D176" s="125"/>
      <c r="E176" s="125"/>
      <c r="F176" s="125"/>
      <c r="G176" s="80"/>
      <c r="H176" s="126"/>
      <c r="I176" s="126"/>
      <c r="J176" s="126"/>
      <c r="K176" s="124"/>
      <c r="L176" s="126"/>
      <c r="M176" s="126"/>
      <c r="N176" s="124"/>
      <c r="O176" s="126"/>
      <c r="P176" s="126"/>
      <c r="Q176" s="124"/>
      <c r="R176" s="126"/>
      <c r="S176" s="126"/>
      <c r="T176" s="124"/>
      <c r="U176" s="126"/>
      <c r="V176" s="126"/>
      <c r="W176" s="124"/>
      <c r="X176" s="126"/>
      <c r="Y176" s="126"/>
      <c r="Z176" s="127"/>
      <c r="AA176" s="125"/>
      <c r="AB176" s="125"/>
      <c r="AC176" s="125"/>
      <c r="AD176" s="125"/>
      <c r="AE176" s="125"/>
      <c r="AF176" s="125"/>
      <c r="AG176" s="125"/>
      <c r="AH176" s="125"/>
      <c r="AI176" s="125"/>
      <c r="AJ176" s="125"/>
      <c r="AK176" s="125"/>
      <c r="AL176" s="125"/>
    </row>
    <row r="177" spans="1:38" ht="16.5" customHeight="1">
      <c r="A177" s="442" t="str">
        <f>INDEX(Zwischenwerte!$A$184:$H$190,Zwischenwerte!$I$155,1)</f>
        <v>Keine</v>
      </c>
      <c r="B177" s="442"/>
      <c r="C177" s="442"/>
      <c r="D177" s="442"/>
      <c r="E177" s="442"/>
      <c r="F177" s="442"/>
      <c r="G177" s="80"/>
      <c r="H177" s="481">
        <f>INDEX(Zwischenwerte!A184:J190,Zwischenwerte!I155,10)</f>
        <v>0</v>
      </c>
      <c r="I177" s="461"/>
      <c r="J177" s="482"/>
      <c r="K177" s="124"/>
      <c r="L177" s="479"/>
      <c r="M177" s="479"/>
      <c r="N177" s="124"/>
      <c r="O177" s="454">
        <f>INDEX(Zwischenwerte!$A$184:$H$190,Zwischenwerte!$I$155,4)</f>
        <v>0</v>
      </c>
      <c r="P177" s="454"/>
      <c r="Q177" s="124"/>
      <c r="R177" s="454">
        <f>IF(INDEX(Zwischenwerte!$A$184:$H$190,Zwischenwerte!$I$155,5)&gt;0,INDEX(Zwischenwerte!$A$184:$H$190,Zwischenwerte!$I$155,5)&amp;"%","")</f>
      </c>
      <c r="S177" s="454"/>
      <c r="T177" s="124"/>
      <c r="U177" s="479"/>
      <c r="V177" s="479"/>
      <c r="W177" s="124"/>
      <c r="X177" s="454">
        <f>IF(INDEX(Zwischenwerte!$A$184:$H$190,Zwischenwerte!$I$155,8)&gt;0,INDEX(Zwischenwerte!$A$184:$H$190,Zwischenwerte!$I$155,8)&amp;"kg","")</f>
      </c>
      <c r="Y177" s="454"/>
      <c r="Z177" s="127"/>
      <c r="AA177" s="442">
        <f>Eingabe!M187</f>
        <v>0</v>
      </c>
      <c r="AB177" s="442"/>
      <c r="AC177" s="442"/>
      <c r="AD177" s="442"/>
      <c r="AE177" s="442"/>
      <c r="AF177" s="442"/>
      <c r="AG177" s="442"/>
      <c r="AH177" s="442"/>
      <c r="AI177" s="442"/>
      <c r="AJ177" s="442"/>
      <c r="AK177" s="442"/>
      <c r="AL177" s="442"/>
    </row>
    <row r="179" ht="16.5" customHeight="1">
      <c r="A179" s="242" t="s">
        <v>542</v>
      </c>
    </row>
    <row r="180" spans="1:39" s="114" customFormat="1" ht="16.5" customHeight="1">
      <c r="A180" s="4"/>
      <c r="B180" s="4"/>
      <c r="C180" s="4"/>
      <c r="D180" s="4"/>
      <c r="E180" s="248" t="s">
        <v>550</v>
      </c>
      <c r="F180" s="237"/>
      <c r="G180" s="237"/>
      <c r="H180" s="237"/>
      <c r="I180" s="237"/>
      <c r="J180" s="237"/>
      <c r="K180" s="237"/>
      <c r="L180" s="237"/>
      <c r="M180" s="237"/>
      <c r="N180" s="237"/>
      <c r="O180" s="237"/>
      <c r="P180" s="237"/>
      <c r="Q180" s="248" t="s">
        <v>551</v>
      </c>
      <c r="R180" s="237"/>
      <c r="S180" s="237"/>
      <c r="T180" s="237"/>
      <c r="U180" s="237"/>
      <c r="V180" s="248" t="s">
        <v>123</v>
      </c>
      <c r="W180" s="237"/>
      <c r="X180" s="237"/>
      <c r="Y180" s="237"/>
      <c r="Z180" s="237"/>
      <c r="AA180" s="237"/>
      <c r="AB180" s="237"/>
      <c r="AC180" s="237"/>
      <c r="AD180" s="237"/>
      <c r="AE180" s="237"/>
      <c r="AF180" s="237"/>
      <c r="AG180" s="237"/>
      <c r="AH180" s="237"/>
      <c r="AI180" s="237"/>
      <c r="AJ180" s="237"/>
      <c r="AK180" s="248" t="s">
        <v>123</v>
      </c>
      <c r="AL180" s="237"/>
      <c r="AM180" s="4"/>
    </row>
    <row r="181" spans="1:38" ht="16.5" customHeight="1">
      <c r="A181" s="238" t="s">
        <v>543</v>
      </c>
      <c r="E181" s="452">
        <f>Eingabe!G199</f>
        <v>0</v>
      </c>
      <c r="F181" s="452"/>
      <c r="G181" s="452"/>
      <c r="H181" s="452"/>
      <c r="I181" s="452"/>
      <c r="J181" s="452"/>
      <c r="K181" s="452"/>
      <c r="L181" s="452"/>
      <c r="M181" s="452"/>
      <c r="N181" s="452"/>
      <c r="O181" s="452"/>
      <c r="P181" s="128"/>
      <c r="Q181" s="452" t="str">
        <f>INDEX(Zwischenwerte!$A$281:$A$298,Zwischenwerte!$C282,1)</f>
        <v>Kein</v>
      </c>
      <c r="R181" s="452"/>
      <c r="S181" s="452"/>
      <c r="T181" s="452"/>
      <c r="V181" s="453">
        <f>INDEX(Zwischenwerte!$A$281:$B$298,Zwischenwerte!$C282,2)</f>
        <v>0</v>
      </c>
      <c r="W181" s="453"/>
      <c r="X181" s="124"/>
      <c r="Y181" s="452">
        <f>Eingabe!J214</f>
        <v>0</v>
      </c>
      <c r="Z181" s="452"/>
      <c r="AA181" s="452"/>
      <c r="AB181" s="452"/>
      <c r="AC181" s="452"/>
      <c r="AD181" s="452"/>
      <c r="AE181" s="452"/>
      <c r="AF181" s="452"/>
      <c r="AG181" s="452"/>
      <c r="AH181" s="452"/>
      <c r="AI181" s="452"/>
      <c r="AJ181" s="128"/>
      <c r="AK181" s="453">
        <f>Eingabe!V214</f>
        <v>0</v>
      </c>
      <c r="AL181" s="453"/>
    </row>
    <row r="182" spans="1:38" ht="16.5" customHeight="1">
      <c r="A182" s="238" t="s">
        <v>544</v>
      </c>
      <c r="E182" s="452">
        <f>Eingabe!G200</f>
        <v>0</v>
      </c>
      <c r="F182" s="452"/>
      <c r="G182" s="452"/>
      <c r="H182" s="452"/>
      <c r="I182" s="452"/>
      <c r="J182" s="452"/>
      <c r="K182" s="452"/>
      <c r="L182" s="452"/>
      <c r="M182" s="452"/>
      <c r="N182" s="452"/>
      <c r="O182" s="452"/>
      <c r="P182" s="128"/>
      <c r="Q182" s="452" t="str">
        <f>INDEX(Zwischenwerte!$A$281:$A$298,Zwischenwerte!$C283,1)</f>
        <v>Kein</v>
      </c>
      <c r="R182" s="452"/>
      <c r="S182" s="452"/>
      <c r="T182" s="452"/>
      <c r="V182" s="453">
        <f>INDEX(Zwischenwerte!$A$281:$B$298,Zwischenwerte!$C283,2)</f>
        <v>0</v>
      </c>
      <c r="W182" s="453"/>
      <c r="X182" s="124"/>
      <c r="Y182" s="452">
        <f>Eingabe!J215</f>
        <v>0</v>
      </c>
      <c r="Z182" s="452"/>
      <c r="AA182" s="452"/>
      <c r="AB182" s="452"/>
      <c r="AC182" s="452"/>
      <c r="AD182" s="452"/>
      <c r="AE182" s="452"/>
      <c r="AF182" s="452"/>
      <c r="AG182" s="452"/>
      <c r="AH182" s="452"/>
      <c r="AI182" s="452"/>
      <c r="AJ182" s="128"/>
      <c r="AK182" s="453">
        <f>Eingabe!V215</f>
        <v>0</v>
      </c>
      <c r="AL182" s="453"/>
    </row>
    <row r="183" spans="1:38" ht="16.5" customHeight="1">
      <c r="A183" s="238" t="s">
        <v>545</v>
      </c>
      <c r="E183" s="452">
        <f>Eingabe!G201</f>
        <v>0</v>
      </c>
      <c r="F183" s="452"/>
      <c r="G183" s="452"/>
      <c r="H183" s="452"/>
      <c r="I183" s="452"/>
      <c r="J183" s="452"/>
      <c r="K183" s="452"/>
      <c r="L183" s="452"/>
      <c r="M183" s="452"/>
      <c r="N183" s="452"/>
      <c r="O183" s="452"/>
      <c r="P183" s="128"/>
      <c r="Q183" s="452" t="str">
        <f>INDEX(Zwischenwerte!$A$281:$A$298,Zwischenwerte!$C284,1)</f>
        <v>Kein</v>
      </c>
      <c r="R183" s="452"/>
      <c r="S183" s="452"/>
      <c r="T183" s="452"/>
      <c r="V183" s="453">
        <f>INDEX(Zwischenwerte!$A$281:$B$298,Zwischenwerte!$C284,2)</f>
        <v>0</v>
      </c>
      <c r="W183" s="453"/>
      <c r="X183" s="124"/>
      <c r="Y183" s="452">
        <f>Eingabe!J216</f>
        <v>0</v>
      </c>
      <c r="Z183" s="452"/>
      <c r="AA183" s="452"/>
      <c r="AB183" s="452"/>
      <c r="AC183" s="452"/>
      <c r="AD183" s="452"/>
      <c r="AE183" s="452"/>
      <c r="AF183" s="452"/>
      <c r="AG183" s="452"/>
      <c r="AH183" s="452"/>
      <c r="AI183" s="452"/>
      <c r="AJ183" s="128"/>
      <c r="AK183" s="453">
        <f>Eingabe!V216</f>
        <v>0</v>
      </c>
      <c r="AL183" s="453"/>
    </row>
    <row r="184" spans="1:38" ht="16.5" customHeight="1">
      <c r="A184" s="238" t="s">
        <v>546</v>
      </c>
      <c r="E184" s="452">
        <f>Eingabe!G202</f>
        <v>0</v>
      </c>
      <c r="F184" s="452"/>
      <c r="G184" s="452"/>
      <c r="H184" s="452"/>
      <c r="I184" s="452"/>
      <c r="J184" s="452"/>
      <c r="K184" s="452"/>
      <c r="L184" s="452"/>
      <c r="M184" s="452"/>
      <c r="N184" s="452"/>
      <c r="O184" s="452"/>
      <c r="P184" s="128"/>
      <c r="Q184" s="452" t="str">
        <f>INDEX(Zwischenwerte!$A$281:$A$298,Zwischenwerte!$C285,1)</f>
        <v>Kein</v>
      </c>
      <c r="R184" s="452"/>
      <c r="S184" s="452"/>
      <c r="T184" s="452"/>
      <c r="V184" s="453">
        <f>INDEX(Zwischenwerte!$A$281:$B$298,Zwischenwerte!$C285,2)</f>
        <v>0</v>
      </c>
      <c r="W184" s="453"/>
      <c r="X184" s="124"/>
      <c r="Y184" s="452">
        <f>Eingabe!J217</f>
        <v>0</v>
      </c>
      <c r="Z184" s="452"/>
      <c r="AA184" s="452"/>
      <c r="AB184" s="452"/>
      <c r="AC184" s="452"/>
      <c r="AD184" s="452"/>
      <c r="AE184" s="452"/>
      <c r="AF184" s="452"/>
      <c r="AG184" s="452"/>
      <c r="AH184" s="452"/>
      <c r="AI184" s="452"/>
      <c r="AJ184" s="128"/>
      <c r="AK184" s="453">
        <f>Eingabe!V217</f>
        <v>0</v>
      </c>
      <c r="AL184" s="453"/>
    </row>
    <row r="185" spans="1:38" ht="16.5" customHeight="1">
      <c r="A185" s="238" t="s">
        <v>624</v>
      </c>
      <c r="E185" s="452">
        <f>Eingabe!G203</f>
        <v>0</v>
      </c>
      <c r="F185" s="452"/>
      <c r="G185" s="452"/>
      <c r="H185" s="452"/>
      <c r="I185" s="452"/>
      <c r="J185" s="452"/>
      <c r="K185" s="452"/>
      <c r="L185" s="452"/>
      <c r="M185" s="452"/>
      <c r="N185" s="452"/>
      <c r="O185" s="452"/>
      <c r="P185" s="128"/>
      <c r="Q185" s="452" t="str">
        <f>INDEX(Zwischenwerte!$A$281:$A$298,Zwischenwerte!$C286,1)</f>
        <v>Kein</v>
      </c>
      <c r="R185" s="452"/>
      <c r="S185" s="452"/>
      <c r="T185" s="452"/>
      <c r="V185" s="453">
        <f>INDEX(Zwischenwerte!$A$281:$B$298,Zwischenwerte!$C286,2)</f>
        <v>0</v>
      </c>
      <c r="W185" s="453"/>
      <c r="X185" s="124"/>
      <c r="Y185" s="452">
        <f>Eingabe!J218</f>
        <v>0</v>
      </c>
      <c r="Z185" s="452"/>
      <c r="AA185" s="452"/>
      <c r="AB185" s="452"/>
      <c r="AC185" s="452"/>
      <c r="AD185" s="452"/>
      <c r="AE185" s="452"/>
      <c r="AF185" s="452"/>
      <c r="AG185" s="452"/>
      <c r="AH185" s="452"/>
      <c r="AI185" s="452"/>
      <c r="AJ185" s="128"/>
      <c r="AK185" s="453">
        <f>Eingabe!V218</f>
        <v>0</v>
      </c>
      <c r="AL185" s="453"/>
    </row>
    <row r="186" spans="1:38" ht="16.5" customHeight="1">
      <c r="A186" s="238" t="s">
        <v>97</v>
      </c>
      <c r="E186" s="452">
        <f>Eingabe!G204</f>
        <v>0</v>
      </c>
      <c r="F186" s="452"/>
      <c r="G186" s="452"/>
      <c r="H186" s="452"/>
      <c r="I186" s="452"/>
      <c r="J186" s="452"/>
      <c r="K186" s="452"/>
      <c r="L186" s="452"/>
      <c r="M186" s="452"/>
      <c r="N186" s="452"/>
      <c r="O186" s="452"/>
      <c r="P186" s="128"/>
      <c r="Q186" s="452" t="str">
        <f>INDEX(Zwischenwerte!$A$281:$A$298,Zwischenwerte!$C287,1)</f>
        <v>Kein</v>
      </c>
      <c r="R186" s="452"/>
      <c r="S186" s="452"/>
      <c r="T186" s="452"/>
      <c r="V186" s="453">
        <f>INDEX(Zwischenwerte!$A$281:$B$298,Zwischenwerte!$C287,2)</f>
        <v>0</v>
      </c>
      <c r="W186" s="453"/>
      <c r="X186" s="124"/>
      <c r="Y186" s="452">
        <f>Eingabe!J219</f>
        <v>0</v>
      </c>
      <c r="Z186" s="452"/>
      <c r="AA186" s="452"/>
      <c r="AB186" s="452"/>
      <c r="AC186" s="452"/>
      <c r="AD186" s="452"/>
      <c r="AE186" s="452"/>
      <c r="AF186" s="452"/>
      <c r="AG186" s="452"/>
      <c r="AH186" s="452"/>
      <c r="AI186" s="452"/>
      <c r="AJ186" s="128"/>
      <c r="AK186" s="453">
        <f>Eingabe!V219</f>
        <v>0</v>
      </c>
      <c r="AL186" s="453"/>
    </row>
    <row r="187" spans="1:38" ht="16.5" customHeight="1">
      <c r="A187" s="238" t="s">
        <v>547</v>
      </c>
      <c r="E187" s="452">
        <f>Eingabe!G205</f>
        <v>0</v>
      </c>
      <c r="F187" s="452"/>
      <c r="G187" s="452"/>
      <c r="H187" s="452"/>
      <c r="I187" s="452"/>
      <c r="J187" s="452"/>
      <c r="K187" s="452"/>
      <c r="L187" s="452"/>
      <c r="M187" s="452"/>
      <c r="N187" s="452"/>
      <c r="O187" s="452"/>
      <c r="P187" s="128"/>
      <c r="Q187" s="452" t="str">
        <f>INDEX(Zwischenwerte!$A$281:$A$298,Zwischenwerte!$C288,1)</f>
        <v>Kein</v>
      </c>
      <c r="R187" s="452"/>
      <c r="S187" s="452"/>
      <c r="T187" s="452"/>
      <c r="V187" s="453">
        <f>INDEX(Zwischenwerte!$A$281:$B$298,Zwischenwerte!$C288,2)</f>
        <v>0</v>
      </c>
      <c r="W187" s="453"/>
      <c r="X187" s="124"/>
      <c r="Y187" s="452">
        <f>Eingabe!J220</f>
        <v>0</v>
      </c>
      <c r="Z187" s="452"/>
      <c r="AA187" s="452"/>
      <c r="AB187" s="452"/>
      <c r="AC187" s="452"/>
      <c r="AD187" s="452"/>
      <c r="AE187" s="452"/>
      <c r="AF187" s="452"/>
      <c r="AG187" s="452"/>
      <c r="AH187" s="452"/>
      <c r="AI187" s="452"/>
      <c r="AJ187" s="128"/>
      <c r="AK187" s="453">
        <f>Eingabe!V220</f>
        <v>0</v>
      </c>
      <c r="AL187" s="453"/>
    </row>
    <row r="188" spans="1:38" ht="16.5" customHeight="1">
      <c r="A188" s="238" t="s">
        <v>548</v>
      </c>
      <c r="E188" s="452">
        <f>Eingabe!G206</f>
        <v>0</v>
      </c>
      <c r="F188" s="452"/>
      <c r="G188" s="452"/>
      <c r="H188" s="452"/>
      <c r="I188" s="452"/>
      <c r="J188" s="452"/>
      <c r="K188" s="452"/>
      <c r="L188" s="452"/>
      <c r="M188" s="452"/>
      <c r="N188" s="452"/>
      <c r="O188" s="452"/>
      <c r="P188" s="128"/>
      <c r="Q188" s="452" t="str">
        <f>INDEX(Zwischenwerte!$A$281:$A$298,Zwischenwerte!$C289,1)</f>
        <v>Kein</v>
      </c>
      <c r="R188" s="452"/>
      <c r="S188" s="452"/>
      <c r="T188" s="452"/>
      <c r="V188" s="453">
        <f>INDEX(Zwischenwerte!$A$281:$B$298,Zwischenwerte!$C289,2)</f>
        <v>0</v>
      </c>
      <c r="W188" s="453"/>
      <c r="X188" s="124"/>
      <c r="Y188" s="452">
        <f>Eingabe!J221</f>
        <v>0</v>
      </c>
      <c r="Z188" s="452"/>
      <c r="AA188" s="452"/>
      <c r="AB188" s="452"/>
      <c r="AC188" s="452"/>
      <c r="AD188" s="452"/>
      <c r="AE188" s="452"/>
      <c r="AF188" s="452"/>
      <c r="AG188" s="452"/>
      <c r="AH188" s="452"/>
      <c r="AI188" s="452"/>
      <c r="AJ188" s="128"/>
      <c r="AK188" s="453">
        <f>Eingabe!V221</f>
        <v>0</v>
      </c>
      <c r="AL188" s="453"/>
    </row>
    <row r="189" spans="1:38" ht="16.5" customHeight="1">
      <c r="A189" s="238" t="s">
        <v>625</v>
      </c>
      <c r="E189" s="452">
        <f>Eingabe!G207</f>
        <v>0</v>
      </c>
      <c r="F189" s="452"/>
      <c r="G189" s="452"/>
      <c r="H189" s="452"/>
      <c r="I189" s="452"/>
      <c r="J189" s="452"/>
      <c r="K189" s="452"/>
      <c r="L189" s="452"/>
      <c r="M189" s="452"/>
      <c r="N189" s="452"/>
      <c r="O189" s="452"/>
      <c r="P189" s="128"/>
      <c r="Q189" s="452" t="str">
        <f>INDEX(Zwischenwerte!$A$281:$A$298,Zwischenwerte!$C290,1)</f>
        <v>Kein</v>
      </c>
      <c r="R189" s="452"/>
      <c r="S189" s="452"/>
      <c r="T189" s="452"/>
      <c r="V189" s="453">
        <f>INDEX(Zwischenwerte!$A$281:$B$298,Zwischenwerte!$C290,2)</f>
        <v>0</v>
      </c>
      <c r="W189" s="453"/>
      <c r="X189" s="124"/>
      <c r="Y189" s="452">
        <f>Eingabe!J222</f>
        <v>0</v>
      </c>
      <c r="Z189" s="452"/>
      <c r="AA189" s="452"/>
      <c r="AB189" s="452"/>
      <c r="AC189" s="452"/>
      <c r="AD189" s="452"/>
      <c r="AE189" s="452"/>
      <c r="AF189" s="452"/>
      <c r="AG189" s="452"/>
      <c r="AH189" s="452"/>
      <c r="AI189" s="452"/>
      <c r="AJ189" s="128"/>
      <c r="AK189" s="453">
        <f>Eingabe!V222</f>
        <v>0</v>
      </c>
      <c r="AL189" s="453"/>
    </row>
    <row r="190" spans="1:38" ht="16.5" customHeight="1">
      <c r="A190" s="238" t="s">
        <v>98</v>
      </c>
      <c r="E190" s="452">
        <f>Eingabe!G208</f>
        <v>0</v>
      </c>
      <c r="F190" s="452"/>
      <c r="G190" s="452"/>
      <c r="H190" s="452"/>
      <c r="I190" s="452"/>
      <c r="J190" s="452"/>
      <c r="K190" s="452"/>
      <c r="L190" s="452"/>
      <c r="M190" s="452"/>
      <c r="N190" s="452"/>
      <c r="O190" s="452"/>
      <c r="P190" s="128"/>
      <c r="Q190" s="452" t="str">
        <f>INDEX(Zwischenwerte!$A$281:$A$298,Zwischenwerte!$C291,1)</f>
        <v>Kein</v>
      </c>
      <c r="R190" s="452"/>
      <c r="S190" s="452"/>
      <c r="T190" s="452"/>
      <c r="V190" s="453">
        <f>INDEX(Zwischenwerte!$A$281:$B$298,Zwischenwerte!$C291,2)</f>
        <v>0</v>
      </c>
      <c r="W190" s="453"/>
      <c r="X190" s="124"/>
      <c r="Y190" s="452">
        <f>Eingabe!J223</f>
        <v>0</v>
      </c>
      <c r="Z190" s="452"/>
      <c r="AA190" s="452"/>
      <c r="AB190" s="452"/>
      <c r="AC190" s="452"/>
      <c r="AD190" s="452"/>
      <c r="AE190" s="452"/>
      <c r="AF190" s="452"/>
      <c r="AG190" s="452"/>
      <c r="AH190" s="452"/>
      <c r="AI190" s="452"/>
      <c r="AJ190" s="128"/>
      <c r="AK190" s="453">
        <f>Eingabe!V223</f>
        <v>0</v>
      </c>
      <c r="AL190" s="453"/>
    </row>
    <row r="191" spans="1:38" ht="16.5" customHeight="1">
      <c r="A191" s="238" t="s">
        <v>549</v>
      </c>
      <c r="E191" s="452">
        <f>Eingabe!G209</f>
        <v>0</v>
      </c>
      <c r="F191" s="452"/>
      <c r="G191" s="452"/>
      <c r="H191" s="452"/>
      <c r="I191" s="452"/>
      <c r="J191" s="452"/>
      <c r="K191" s="452"/>
      <c r="L191" s="452"/>
      <c r="M191" s="452"/>
      <c r="N191" s="452"/>
      <c r="O191" s="452"/>
      <c r="P191" s="128"/>
      <c r="Q191" s="452" t="str">
        <f>INDEX(Zwischenwerte!$A$281:$A$298,Zwischenwerte!$C292,1)</f>
        <v>Kein</v>
      </c>
      <c r="R191" s="452"/>
      <c r="S191" s="452"/>
      <c r="T191" s="452"/>
      <c r="V191" s="453">
        <f>INDEX(Zwischenwerte!$A$281:$B$298,Zwischenwerte!$C292,2)</f>
        <v>0</v>
      </c>
      <c r="W191" s="453"/>
      <c r="X191" s="124"/>
      <c r="Y191" s="452">
        <f>Eingabe!J224</f>
        <v>0</v>
      </c>
      <c r="Z191" s="452"/>
      <c r="AA191" s="452"/>
      <c r="AB191" s="452"/>
      <c r="AC191" s="452"/>
      <c r="AD191" s="452"/>
      <c r="AE191" s="452"/>
      <c r="AF191" s="452"/>
      <c r="AG191" s="452"/>
      <c r="AH191" s="452"/>
      <c r="AI191" s="452"/>
      <c r="AJ191" s="128"/>
      <c r="AK191" s="453">
        <f>Eingabe!V224</f>
        <v>0</v>
      </c>
      <c r="AL191" s="453"/>
    </row>
    <row r="192" spans="1:38" ht="16.5" customHeight="1">
      <c r="A192" s="238" t="s">
        <v>539</v>
      </c>
      <c r="E192" s="452">
        <f>Eingabe!G210</f>
        <v>0</v>
      </c>
      <c r="F192" s="452"/>
      <c r="G192" s="452"/>
      <c r="H192" s="452"/>
      <c r="I192" s="452"/>
      <c r="J192" s="452"/>
      <c r="K192" s="452"/>
      <c r="L192" s="452"/>
      <c r="M192" s="452"/>
      <c r="N192" s="452"/>
      <c r="O192" s="452"/>
      <c r="P192" s="128"/>
      <c r="Q192" s="452" t="str">
        <f>INDEX(Zwischenwerte!$A$281:$A$298,Zwischenwerte!$C293,1)</f>
        <v>Kein</v>
      </c>
      <c r="R192" s="452"/>
      <c r="S192" s="452"/>
      <c r="T192" s="452"/>
      <c r="V192" s="453">
        <f>INDEX(Zwischenwerte!$A$281:$B$298,Zwischenwerte!$C293,2)</f>
        <v>0</v>
      </c>
      <c r="W192" s="453"/>
      <c r="X192" s="124"/>
      <c r="Y192" s="452">
        <f>Eingabe!J225</f>
        <v>0</v>
      </c>
      <c r="Z192" s="452"/>
      <c r="AA192" s="452"/>
      <c r="AB192" s="452"/>
      <c r="AC192" s="452"/>
      <c r="AD192" s="452"/>
      <c r="AE192" s="452"/>
      <c r="AF192" s="452"/>
      <c r="AG192" s="452"/>
      <c r="AH192" s="452"/>
      <c r="AI192" s="452"/>
      <c r="AJ192" s="128"/>
      <c r="AK192" s="453">
        <f>Eingabe!V225</f>
        <v>0</v>
      </c>
      <c r="AL192" s="453"/>
    </row>
    <row r="193" spans="5:38" ht="16.5" customHeight="1">
      <c r="E193" s="452">
        <f>Eingabe!G211</f>
        <v>0</v>
      </c>
      <c r="F193" s="452"/>
      <c r="G193" s="452"/>
      <c r="H193" s="452"/>
      <c r="I193" s="452"/>
      <c r="J193" s="452"/>
      <c r="K193" s="452"/>
      <c r="L193" s="452"/>
      <c r="M193" s="452"/>
      <c r="N193" s="452"/>
      <c r="O193" s="452"/>
      <c r="P193" s="128"/>
      <c r="Q193" s="452" t="str">
        <f>INDEX(Zwischenwerte!$A$281:$A$298,Zwischenwerte!$C294,1)</f>
        <v>Kein</v>
      </c>
      <c r="R193" s="452"/>
      <c r="S193" s="452"/>
      <c r="T193" s="452"/>
      <c r="V193" s="453">
        <f>INDEX(Zwischenwerte!$A$281:$B$298,Zwischenwerte!$C294,2)</f>
        <v>0</v>
      </c>
      <c r="W193" s="453"/>
      <c r="X193" s="124"/>
      <c r="Y193" s="452">
        <f>Eingabe!J226</f>
        <v>0</v>
      </c>
      <c r="Z193" s="452"/>
      <c r="AA193" s="452"/>
      <c r="AB193" s="452"/>
      <c r="AC193" s="452"/>
      <c r="AD193" s="452"/>
      <c r="AE193" s="452"/>
      <c r="AF193" s="452"/>
      <c r="AG193" s="452"/>
      <c r="AH193" s="452"/>
      <c r="AI193" s="452"/>
      <c r="AJ193" s="128"/>
      <c r="AK193" s="453">
        <f>Eingabe!V226</f>
        <v>0</v>
      </c>
      <c r="AL193" s="453"/>
    </row>
    <row r="195" spans="17:22" ht="16.5" customHeight="1">
      <c r="Q195" s="6" t="s">
        <v>73</v>
      </c>
      <c r="T195" s="518" t="str">
        <f>Eingabe!AA214&amp;"kg"</f>
        <v>0kg</v>
      </c>
      <c r="U195" s="519"/>
      <c r="V195" s="520"/>
    </row>
    <row r="196" ht="16.5" customHeight="1">
      <c r="T196" s="129"/>
    </row>
    <row r="197" spans="1:21" ht="16.5" customHeight="1">
      <c r="A197" s="242" t="s">
        <v>495</v>
      </c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  <c r="U197" s="242" t="s">
        <v>1</v>
      </c>
    </row>
    <row r="198" spans="1:38" ht="16.5" customHeight="1">
      <c r="A198" s="515" t="s">
        <v>100</v>
      </c>
      <c r="B198" s="515"/>
      <c r="C198" s="515"/>
      <c r="D198" s="237"/>
      <c r="E198" s="237"/>
      <c r="F198" s="515" t="s">
        <v>76</v>
      </c>
      <c r="G198" s="515"/>
      <c r="H198" s="515"/>
      <c r="I198" s="237"/>
      <c r="J198" s="237"/>
      <c r="K198" s="515" t="s">
        <v>77</v>
      </c>
      <c r="L198" s="515"/>
      <c r="M198" s="515"/>
      <c r="N198" s="246"/>
      <c r="P198" s="515" t="s">
        <v>101</v>
      </c>
      <c r="Q198" s="515"/>
      <c r="R198" s="515"/>
      <c r="U198" s="442">
        <f>Eingabe!C193</f>
        <v>0</v>
      </c>
      <c r="V198" s="442"/>
      <c r="W198" s="442"/>
      <c r="X198" s="442"/>
      <c r="Y198" s="442"/>
      <c r="Z198" s="442"/>
      <c r="AA198" s="442"/>
      <c r="AB198" s="442"/>
      <c r="AC198" s="442"/>
      <c r="AD198" s="442"/>
      <c r="AE198" s="442"/>
      <c r="AF198" s="442"/>
      <c r="AG198" s="442"/>
      <c r="AH198" s="442"/>
      <c r="AI198" s="442"/>
      <c r="AJ198" s="442"/>
      <c r="AK198" s="442"/>
      <c r="AL198" s="442"/>
    </row>
    <row r="199" spans="1:38" ht="16.5" customHeight="1">
      <c r="A199" s="435">
        <f>Eingabe!C191</f>
        <v>0</v>
      </c>
      <c r="B199" s="436"/>
      <c r="C199" s="437"/>
      <c r="F199" s="441">
        <f>Eingabe!F191</f>
        <v>0</v>
      </c>
      <c r="G199" s="436"/>
      <c r="H199" s="437"/>
      <c r="K199" s="441">
        <f>Eingabe!I191</f>
        <v>0</v>
      </c>
      <c r="L199" s="436"/>
      <c r="M199" s="437"/>
      <c r="P199" s="441">
        <f>Eingabe!L191</f>
        <v>0</v>
      </c>
      <c r="Q199" s="436"/>
      <c r="R199" s="437"/>
      <c r="U199" s="442">
        <f>Eingabe!C194</f>
        <v>0</v>
      </c>
      <c r="V199" s="442"/>
      <c r="W199" s="442"/>
      <c r="X199" s="442"/>
      <c r="Y199" s="442"/>
      <c r="Z199" s="442"/>
      <c r="AA199" s="442"/>
      <c r="AB199" s="442"/>
      <c r="AC199" s="442"/>
      <c r="AD199" s="442"/>
      <c r="AE199" s="442"/>
      <c r="AF199" s="442"/>
      <c r="AG199" s="442"/>
      <c r="AH199" s="442"/>
      <c r="AI199" s="442"/>
      <c r="AJ199" s="442"/>
      <c r="AK199" s="442"/>
      <c r="AL199" s="442"/>
    </row>
    <row r="200" spans="1:38" ht="16.5" customHeight="1">
      <c r="A200" s="438"/>
      <c r="B200" s="439"/>
      <c r="C200" s="440"/>
      <c r="F200" s="438"/>
      <c r="G200" s="439"/>
      <c r="H200" s="440"/>
      <c r="K200" s="438"/>
      <c r="L200" s="439"/>
      <c r="M200" s="440"/>
      <c r="P200" s="438"/>
      <c r="Q200" s="439"/>
      <c r="R200" s="440"/>
      <c r="U200" s="442">
        <f>Eingabe!C195</f>
        <v>0</v>
      </c>
      <c r="V200" s="442"/>
      <c r="W200" s="442"/>
      <c r="X200" s="442"/>
      <c r="Y200" s="442"/>
      <c r="Z200" s="442"/>
      <c r="AA200" s="442"/>
      <c r="AB200" s="442"/>
      <c r="AC200" s="442"/>
      <c r="AD200" s="442"/>
      <c r="AE200" s="442"/>
      <c r="AF200" s="442"/>
      <c r="AG200" s="442"/>
      <c r="AH200" s="442"/>
      <c r="AI200" s="442"/>
      <c r="AJ200" s="442"/>
      <c r="AK200" s="442"/>
      <c r="AL200" s="442"/>
    </row>
    <row r="201" spans="21:38" ht="16.5" customHeight="1">
      <c r="U201" s="442">
        <f>Eingabe!C196</f>
        <v>0</v>
      </c>
      <c r="V201" s="442"/>
      <c r="W201" s="442"/>
      <c r="X201" s="442"/>
      <c r="Y201" s="442"/>
      <c r="Z201" s="442"/>
      <c r="AA201" s="442"/>
      <c r="AB201" s="442"/>
      <c r="AC201" s="442"/>
      <c r="AD201" s="442"/>
      <c r="AE201" s="442"/>
      <c r="AF201" s="442"/>
      <c r="AG201" s="442"/>
      <c r="AH201" s="442"/>
      <c r="AI201" s="442"/>
      <c r="AJ201" s="442"/>
      <c r="AK201" s="442"/>
      <c r="AL201" s="442"/>
    </row>
    <row r="202" spans="1:13" ht="16.5" customHeight="1">
      <c r="A202" s="248" t="str">
        <f>"Charakter von : "&amp;INDEX(Zwischenwerte!$A$22:$A$28,Zwischenwerte!$B$22,1)</f>
        <v>Charakter von : Anna</v>
      </c>
      <c r="B202" s="82"/>
      <c r="C202" s="82"/>
      <c r="D202" s="82"/>
      <c r="E202" s="82" t="s">
        <v>154</v>
      </c>
      <c r="F202" s="82"/>
      <c r="G202" s="82"/>
      <c r="H202" s="517">
        <f ca="1">NOW()</f>
        <v>38893.46679791667</v>
      </c>
      <c r="I202" s="517"/>
      <c r="J202" s="517"/>
      <c r="L202" s="288"/>
      <c r="M202" s="288"/>
    </row>
    <row r="206" ht="16.5" customHeight="1">
      <c r="A206" s="4">
        <f>Eingabe!B73</f>
        <v>0</v>
      </c>
    </row>
    <row r="209" spans="3:40" ht="16.5" customHeight="1"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</row>
  </sheetData>
  <sheetProtection sheet="1" objects="1" scenarios="1" selectLockedCells="1"/>
  <protectedRanges>
    <protectedRange sqref="AK181:AL193 E181:O193 Q181:T193 V181:W193 Y181:AI193 T195 AL198:AL201 S198:T201 R201" name="Bereich8"/>
    <protectedRange sqref="A167:F169 AL167:AL169 AB167:AF169 J167:N169 P167:T169 V167:Z169 AH167:AI169 O173:O177 R173:R177 L173:L177 AA173:AA177 A173:A177 X173:X177 U173:U177 H173:H177" name="Bereich7"/>
    <protectedRange sqref="A9:Q17" name="Bereich6"/>
    <protectedRange sqref="H156:H165 P156:R165 AG156:AH165 AJ156:AK165 L156:L165 T156:V165 AA156:AB165 AD156:AE165 N156:N165 J156:J165 X156:Y165 AJ167:AK170" name="Bereich5"/>
    <protectedRange sqref="F144:F145 AJ150:AJ151 AL150:AL151 AB146 AF146 AH146 AJ146 AL146:AM146 S150:S152 W150:W152 U150:U152 Y150:Y152" name="Bereich4"/>
    <protectedRange sqref="Y102 AI83:AI84 AL107:AL128 U137:U141 AG85:AG91 AJ107:AJ128 S63:S127 AG107:AG128 Q135 N135 S137:S141 P129:P134 U129:U134 S129:S135 AK102 AL63:AL82 AL85:AL91 AJ63:AJ82 AJ85:AJ91 AG63:AG82 U63:U127 P63:P127 W63:W91 P137:P139 P141" name="Bereich3"/>
    <protectedRange sqref="AA3:AA6 N4 D5 C6 H6 L6 Q6 A9:Q17 AI4 AV13:AW15 D4:F4 M3:N3 Y21:Y22 Y25:Y26 Y29:Y30 AE21:AE22 AH21:AH22 AE25:AE26 AH25:AH26 AE29:AE30 AH29:AH30 N37 P36 O40:R44 J40:M44 A206:N206 Y41 AC41 AG41 AF43 AF45:AF46 P198 AI43:AI46 G37 U9:AK17 O3:R4 U34:Y34 U198:AK201 G3:I4 A40:D44 F40:G44 U35:AK38 AB34:AG34 G21:H33 A49:F59 J21:K33 AD49:AM59 U49:U59" name="Bereich2"/>
    <protectedRange sqref="G3:I3" name="Bereich1"/>
  </protectedRanges>
  <mergeCells count="444">
    <mergeCell ref="M82:N82"/>
    <mergeCell ref="K150:L150"/>
    <mergeCell ref="M76:N76"/>
    <mergeCell ref="M79:N79"/>
    <mergeCell ref="M137:N137"/>
    <mergeCell ref="M131:N131"/>
    <mergeCell ref="M125:N125"/>
    <mergeCell ref="M127:N127"/>
    <mergeCell ref="M129:N129"/>
    <mergeCell ref="M78:N78"/>
    <mergeCell ref="M80:N80"/>
    <mergeCell ref="M87:N87"/>
    <mergeCell ref="M84:N84"/>
    <mergeCell ref="M85:N85"/>
    <mergeCell ref="K149:L149"/>
    <mergeCell ref="M93:N93"/>
    <mergeCell ref="M99:N99"/>
    <mergeCell ref="M107:N107"/>
    <mergeCell ref="K135:L135"/>
    <mergeCell ref="M105:N105"/>
    <mergeCell ref="M133:N133"/>
    <mergeCell ref="M94:N94"/>
    <mergeCell ref="M97:N97"/>
    <mergeCell ref="P198:R198"/>
    <mergeCell ref="R175:S175"/>
    <mergeCell ref="E186:O186"/>
    <mergeCell ref="E185:O185"/>
    <mergeCell ref="Q192:T192"/>
    <mergeCell ref="Q187:T187"/>
    <mergeCell ref="Q186:T186"/>
    <mergeCell ref="R177:S177"/>
    <mergeCell ref="F198:H198"/>
    <mergeCell ref="T195:V195"/>
    <mergeCell ref="H202:J202"/>
    <mergeCell ref="X175:Y175"/>
    <mergeCell ref="Y184:AI184"/>
    <mergeCell ref="W146:X146"/>
    <mergeCell ref="AA150:AB150"/>
    <mergeCell ref="AA149:AB149"/>
    <mergeCell ref="AA152:AB152"/>
    <mergeCell ref="T162:V162"/>
    <mergeCell ref="E187:O187"/>
    <mergeCell ref="K198:M198"/>
    <mergeCell ref="I144:J144"/>
    <mergeCell ref="I143:J143"/>
    <mergeCell ref="M113:N113"/>
    <mergeCell ref="M111:N111"/>
    <mergeCell ref="H140:J140"/>
    <mergeCell ref="M109:N109"/>
    <mergeCell ref="N149:O149"/>
    <mergeCell ref="A198:C198"/>
    <mergeCell ref="A175:F175"/>
    <mergeCell ref="H175:J175"/>
    <mergeCell ref="E182:O182"/>
    <mergeCell ref="E181:O181"/>
    <mergeCell ref="E183:O183"/>
    <mergeCell ref="E184:O184"/>
    <mergeCell ref="E193:O193"/>
    <mergeCell ref="J20:K20"/>
    <mergeCell ref="Q35:R35"/>
    <mergeCell ref="N37:O37"/>
    <mergeCell ref="Q23:R23"/>
    <mergeCell ref="J27:K27"/>
    <mergeCell ref="N27:O27"/>
    <mergeCell ref="Q27:R27"/>
    <mergeCell ref="J25:K25"/>
    <mergeCell ref="Q25:R25"/>
    <mergeCell ref="N20:O20"/>
    <mergeCell ref="AE29:AF29"/>
    <mergeCell ref="Q29:R29"/>
    <mergeCell ref="M73:N73"/>
    <mergeCell ref="U55:AM55"/>
    <mergeCell ref="X43:Y43"/>
    <mergeCell ref="X44:Y44"/>
    <mergeCell ref="N31:O31"/>
    <mergeCell ref="U50:AM50"/>
    <mergeCell ref="AD63:AE63"/>
    <mergeCell ref="AA36:AF36"/>
    <mergeCell ref="AF83:AG83"/>
    <mergeCell ref="AI46:AJ46"/>
    <mergeCell ref="U56:AM56"/>
    <mergeCell ref="AD77:AE77"/>
    <mergeCell ref="AD73:AE73"/>
    <mergeCell ref="AD71:AE71"/>
    <mergeCell ref="AD62:AE62"/>
    <mergeCell ref="U51:AM51"/>
    <mergeCell ref="U52:AM52"/>
    <mergeCell ref="U53:AM53"/>
    <mergeCell ref="AJ162:AK162"/>
    <mergeCell ref="AD155:AE155"/>
    <mergeCell ref="AG155:AH155"/>
    <mergeCell ref="AD87:AE87"/>
    <mergeCell ref="AJ155:AK155"/>
    <mergeCell ref="AG156:AH156"/>
    <mergeCell ref="AJ156:AK156"/>
    <mergeCell ref="AD123:AE123"/>
    <mergeCell ref="AD113:AE113"/>
    <mergeCell ref="AD121:AE121"/>
    <mergeCell ref="AA162:AB162"/>
    <mergeCell ref="AD127:AE127"/>
    <mergeCell ref="AD125:AE125"/>
    <mergeCell ref="AA158:AB158"/>
    <mergeCell ref="AA159:AB159"/>
    <mergeCell ref="AA161:AB161"/>
    <mergeCell ref="AD158:AE158"/>
    <mergeCell ref="AD159:AE159"/>
    <mergeCell ref="AD160:AE160"/>
    <mergeCell ref="AD156:AE156"/>
    <mergeCell ref="X173:Y173"/>
    <mergeCell ref="AK187:AL187"/>
    <mergeCell ref="AK184:AL184"/>
    <mergeCell ref="AK185:AL185"/>
    <mergeCell ref="AK186:AL186"/>
    <mergeCell ref="AA175:AL175"/>
    <mergeCell ref="Y186:AI186"/>
    <mergeCell ref="Y187:AI187"/>
    <mergeCell ref="AK190:AL190"/>
    <mergeCell ref="Q189:T189"/>
    <mergeCell ref="V190:W190"/>
    <mergeCell ref="AK181:AL181"/>
    <mergeCell ref="Y189:AI189"/>
    <mergeCell ref="AK189:AL189"/>
    <mergeCell ref="Q190:T190"/>
    <mergeCell ref="Y190:AI190"/>
    <mergeCell ref="AK188:AL188"/>
    <mergeCell ref="V188:W188"/>
    <mergeCell ref="V193:W193"/>
    <mergeCell ref="Q193:T193"/>
    <mergeCell ref="Y193:AI193"/>
    <mergeCell ref="AK193:AL193"/>
    <mergeCell ref="AK192:AL192"/>
    <mergeCell ref="Q191:T191"/>
    <mergeCell ref="Y192:AI192"/>
    <mergeCell ref="AK191:AL191"/>
    <mergeCell ref="V191:W191"/>
    <mergeCell ref="Y188:AI188"/>
    <mergeCell ref="E192:O192"/>
    <mergeCell ref="E188:O188"/>
    <mergeCell ref="E191:O191"/>
    <mergeCell ref="E190:O190"/>
    <mergeCell ref="E189:O189"/>
    <mergeCell ref="V189:W189"/>
    <mergeCell ref="Y191:AI191"/>
    <mergeCell ref="Q188:T188"/>
    <mergeCell ref="V192:W192"/>
    <mergeCell ref="Q181:T181"/>
    <mergeCell ref="Q182:T182"/>
    <mergeCell ref="V181:W181"/>
    <mergeCell ref="Y185:AI185"/>
    <mergeCell ref="Y183:AI183"/>
    <mergeCell ref="Y181:AI181"/>
    <mergeCell ref="V183:W183"/>
    <mergeCell ref="V184:W184"/>
    <mergeCell ref="Q183:T183"/>
    <mergeCell ref="Q184:T184"/>
    <mergeCell ref="V185:W185"/>
    <mergeCell ref="Q185:T185"/>
    <mergeCell ref="V187:W187"/>
    <mergeCell ref="V186:W186"/>
    <mergeCell ref="Y21:Z21"/>
    <mergeCell ref="AB21:AC21"/>
    <mergeCell ref="U23:W23"/>
    <mergeCell ref="Y23:Z23"/>
    <mergeCell ref="AB23:AC23"/>
    <mergeCell ref="U21:W21"/>
    <mergeCell ref="Q20:R20"/>
    <mergeCell ref="N21:O21"/>
    <mergeCell ref="E5:I5"/>
    <mergeCell ref="M5:R5"/>
    <mergeCell ref="A9:R17"/>
    <mergeCell ref="C6:D6"/>
    <mergeCell ref="H6:I6"/>
    <mergeCell ref="L6:M6"/>
    <mergeCell ref="Q6:R6"/>
    <mergeCell ref="Q21:R21"/>
    <mergeCell ref="U5:Z5"/>
    <mergeCell ref="Y27:Z27"/>
    <mergeCell ref="U15:AK15"/>
    <mergeCell ref="U16:AK16"/>
    <mergeCell ref="U17:AK17"/>
    <mergeCell ref="AB27:AC27"/>
    <mergeCell ref="AE27:AF27"/>
    <mergeCell ref="U25:W25"/>
    <mergeCell ref="AE20:AF20"/>
    <mergeCell ref="Y20:Z20"/>
    <mergeCell ref="A1:AN1"/>
    <mergeCell ref="M3:R3"/>
    <mergeCell ref="D4:I4"/>
    <mergeCell ref="U4:Z4"/>
    <mergeCell ref="U3:Z3"/>
    <mergeCell ref="N4:R4"/>
    <mergeCell ref="AI3:AL3"/>
    <mergeCell ref="AI4:AL4"/>
    <mergeCell ref="F3:G3"/>
    <mergeCell ref="AD3:AE3"/>
    <mergeCell ref="AD4:AE4"/>
    <mergeCell ref="AD5:AE5"/>
    <mergeCell ref="U14:AK14"/>
    <mergeCell ref="U9:AK9"/>
    <mergeCell ref="U10:AK10"/>
    <mergeCell ref="AD6:AE6"/>
    <mergeCell ref="U6:Z6"/>
    <mergeCell ref="U11:AK11"/>
    <mergeCell ref="U12:AK12"/>
    <mergeCell ref="U13:AK13"/>
    <mergeCell ref="AI6:AL6"/>
    <mergeCell ref="AH20:AI20"/>
    <mergeCell ref="AB20:AC20"/>
    <mergeCell ref="U20:W20"/>
    <mergeCell ref="AH21:AI21"/>
    <mergeCell ref="AE23:AF23"/>
    <mergeCell ref="AH23:AI23"/>
    <mergeCell ref="AE21:AF21"/>
    <mergeCell ref="AE25:AF25"/>
    <mergeCell ref="X45:Y45"/>
    <mergeCell ref="AF45:AG45"/>
    <mergeCell ref="Y41:Z41"/>
    <mergeCell ref="AC41:AD41"/>
    <mergeCell ref="AG41:AH41"/>
    <mergeCell ref="U36:Z36"/>
    <mergeCell ref="AB34:AG34"/>
    <mergeCell ref="U35:Z35"/>
    <mergeCell ref="AA35:AF35"/>
    <mergeCell ref="Y25:Z25"/>
    <mergeCell ref="AB25:AC25"/>
    <mergeCell ref="AB29:AC29"/>
    <mergeCell ref="U27:W27"/>
    <mergeCell ref="U29:W29"/>
    <mergeCell ref="Y29:Z29"/>
    <mergeCell ref="AH25:AI25"/>
    <mergeCell ref="AH27:AI27"/>
    <mergeCell ref="AH29:AI29"/>
    <mergeCell ref="AI44:AJ44"/>
    <mergeCell ref="AI43:AJ43"/>
    <mergeCell ref="AA160:AB160"/>
    <mergeCell ref="P156:R156"/>
    <mergeCell ref="W155:Z155"/>
    <mergeCell ref="T156:V156"/>
    <mergeCell ref="AA156:AB156"/>
    <mergeCell ref="AA155:AB155"/>
    <mergeCell ref="T155:V155"/>
    <mergeCell ref="X156:Y156"/>
    <mergeCell ref="T160:V160"/>
    <mergeCell ref="T158:V158"/>
    <mergeCell ref="P155:R155"/>
    <mergeCell ref="A173:F173"/>
    <mergeCell ref="A177:F177"/>
    <mergeCell ref="H172:J172"/>
    <mergeCell ref="H173:J173"/>
    <mergeCell ref="H177:J177"/>
    <mergeCell ref="L173:M173"/>
    <mergeCell ref="L177:M177"/>
    <mergeCell ref="O172:P172"/>
    <mergeCell ref="O173:P173"/>
    <mergeCell ref="O177:P177"/>
    <mergeCell ref="K172:N172"/>
    <mergeCell ref="O175:P175"/>
    <mergeCell ref="L175:M175"/>
    <mergeCell ref="U172:V172"/>
    <mergeCell ref="U173:V173"/>
    <mergeCell ref="U177:V177"/>
    <mergeCell ref="Q172:T172"/>
    <mergeCell ref="U175:V175"/>
    <mergeCell ref="A169:F169"/>
    <mergeCell ref="AJ158:AK158"/>
    <mergeCell ref="AJ159:AK159"/>
    <mergeCell ref="AG158:AH158"/>
    <mergeCell ref="AG159:AH159"/>
    <mergeCell ref="AG162:AH162"/>
    <mergeCell ref="AG161:AH161"/>
    <mergeCell ref="AJ160:AK160"/>
    <mergeCell ref="AJ161:AK161"/>
    <mergeCell ref="X161:Y161"/>
    <mergeCell ref="X160:Y160"/>
    <mergeCell ref="M95:N95"/>
    <mergeCell ref="X162:Y162"/>
    <mergeCell ref="A168:F168"/>
    <mergeCell ref="X158:Y158"/>
    <mergeCell ref="X159:Y159"/>
    <mergeCell ref="N152:O152"/>
    <mergeCell ref="E150:F150"/>
    <mergeCell ref="K152:L152"/>
    <mergeCell ref="H152:I152"/>
    <mergeCell ref="A164:F164"/>
    <mergeCell ref="P164:R164"/>
    <mergeCell ref="M117:N117"/>
    <mergeCell ref="A162:F162"/>
    <mergeCell ref="P158:R158"/>
    <mergeCell ref="A161:F161"/>
    <mergeCell ref="E152:F152"/>
    <mergeCell ref="N150:O150"/>
    <mergeCell ref="H150:I150"/>
    <mergeCell ref="F146:G146"/>
    <mergeCell ref="A167:F167"/>
    <mergeCell ref="M121:N121"/>
    <mergeCell ref="M123:N123"/>
    <mergeCell ref="E149:F149"/>
    <mergeCell ref="H149:I149"/>
    <mergeCell ref="F144:G144"/>
    <mergeCell ref="A160:F160"/>
    <mergeCell ref="A159:F159"/>
    <mergeCell ref="A158:F158"/>
    <mergeCell ref="A156:F156"/>
    <mergeCell ref="A50:R50"/>
    <mergeCell ref="A51:R51"/>
    <mergeCell ref="M65:N65"/>
    <mergeCell ref="M69:N69"/>
    <mergeCell ref="M68:N68"/>
    <mergeCell ref="M66:N66"/>
    <mergeCell ref="A52:R52"/>
    <mergeCell ref="A54:R54"/>
    <mergeCell ref="A53:R53"/>
    <mergeCell ref="M62:N62"/>
    <mergeCell ref="A44:K44"/>
    <mergeCell ref="A41:K41"/>
    <mergeCell ref="M39:R45"/>
    <mergeCell ref="U49:AM49"/>
    <mergeCell ref="AF43:AG43"/>
    <mergeCell ref="AI45:AJ45"/>
    <mergeCell ref="G37:H37"/>
    <mergeCell ref="J29:K29"/>
    <mergeCell ref="N29:O29"/>
    <mergeCell ref="Q31:R31"/>
    <mergeCell ref="G21:H21"/>
    <mergeCell ref="J21:K21"/>
    <mergeCell ref="G23:H23"/>
    <mergeCell ref="J23:K23"/>
    <mergeCell ref="N23:O23"/>
    <mergeCell ref="A40:K40"/>
    <mergeCell ref="A42:K42"/>
    <mergeCell ref="A43:K43"/>
    <mergeCell ref="N25:O25"/>
    <mergeCell ref="G29:H29"/>
    <mergeCell ref="G31:H31"/>
    <mergeCell ref="J31:K31"/>
    <mergeCell ref="G27:H27"/>
    <mergeCell ref="G25:H25"/>
    <mergeCell ref="AF44:AG44"/>
    <mergeCell ref="X46:Z46"/>
    <mergeCell ref="M63:N63"/>
    <mergeCell ref="AJ42:AK42"/>
    <mergeCell ref="AF46:AG46"/>
    <mergeCell ref="A55:R55"/>
    <mergeCell ref="A56:R56"/>
    <mergeCell ref="A57:R57"/>
    <mergeCell ref="D60:F60"/>
    <mergeCell ref="W63:AC63"/>
    <mergeCell ref="W81:AC81"/>
    <mergeCell ref="M101:N101"/>
    <mergeCell ref="W85:AC85"/>
    <mergeCell ref="W65:AC65"/>
    <mergeCell ref="W75:AC75"/>
    <mergeCell ref="W79:AC79"/>
    <mergeCell ref="W77:AC77"/>
    <mergeCell ref="M81:N81"/>
    <mergeCell ref="M77:N77"/>
    <mergeCell ref="M83:N83"/>
    <mergeCell ref="AD81:AE81"/>
    <mergeCell ref="M119:N119"/>
    <mergeCell ref="M103:N103"/>
    <mergeCell ref="AD109:AE109"/>
    <mergeCell ref="AD105:AE105"/>
    <mergeCell ref="M115:N115"/>
    <mergeCell ref="M89:N89"/>
    <mergeCell ref="M91:N91"/>
    <mergeCell ref="W91:AC91"/>
    <mergeCell ref="W83:AC83"/>
    <mergeCell ref="AD89:AE89"/>
    <mergeCell ref="AD85:AE85"/>
    <mergeCell ref="W87:AC87"/>
    <mergeCell ref="W89:AC89"/>
    <mergeCell ref="AD65:AE65"/>
    <mergeCell ref="AD67:AE67"/>
    <mergeCell ref="AD79:AE79"/>
    <mergeCell ref="AD69:AE69"/>
    <mergeCell ref="AD75:AE75"/>
    <mergeCell ref="W67:AC67"/>
    <mergeCell ref="W73:AC73"/>
    <mergeCell ref="M75:N75"/>
    <mergeCell ref="M74:N74"/>
    <mergeCell ref="M67:N67"/>
    <mergeCell ref="M72:N72"/>
    <mergeCell ref="M71:N71"/>
    <mergeCell ref="M70:N70"/>
    <mergeCell ref="U201:AL201"/>
    <mergeCell ref="X172:Y172"/>
    <mergeCell ref="P159:R159"/>
    <mergeCell ref="P160:R160"/>
    <mergeCell ref="P161:R161"/>
    <mergeCell ref="P162:R162"/>
    <mergeCell ref="R173:S173"/>
    <mergeCell ref="AA164:AB164"/>
    <mergeCell ref="AA177:AL177"/>
    <mergeCell ref="AK183:AL183"/>
    <mergeCell ref="T164:V164"/>
    <mergeCell ref="AJ164:AK164"/>
    <mergeCell ref="Y182:AI182"/>
    <mergeCell ref="AK182:AL182"/>
    <mergeCell ref="X164:Y164"/>
    <mergeCell ref="AD164:AE164"/>
    <mergeCell ref="AG164:AH164"/>
    <mergeCell ref="X177:Y177"/>
    <mergeCell ref="AA173:AL173"/>
    <mergeCell ref="V182:W182"/>
    <mergeCell ref="W105:AC105"/>
    <mergeCell ref="W69:AC69"/>
    <mergeCell ref="AD161:AE161"/>
    <mergeCell ref="AG160:AH160"/>
    <mergeCell ref="AD111:AE111"/>
    <mergeCell ref="AD115:AE115"/>
    <mergeCell ref="AD117:AE117"/>
    <mergeCell ref="AD119:AE119"/>
    <mergeCell ref="W71:AC71"/>
    <mergeCell ref="AD91:AE91"/>
    <mergeCell ref="U198:AL198"/>
    <mergeCell ref="U199:AL199"/>
    <mergeCell ref="U200:AL200"/>
    <mergeCell ref="AE150:AF150"/>
    <mergeCell ref="AD162:AE162"/>
    <mergeCell ref="AJ170:AK170"/>
    <mergeCell ref="AJ169:AK169"/>
    <mergeCell ref="AJ166:AK166"/>
    <mergeCell ref="AJ167:AK167"/>
    <mergeCell ref="AJ168:AK168"/>
    <mergeCell ref="A49:R49"/>
    <mergeCell ref="A199:C200"/>
    <mergeCell ref="F199:H200"/>
    <mergeCell ref="K199:M200"/>
    <mergeCell ref="P199:R200"/>
    <mergeCell ref="A58:R58"/>
    <mergeCell ref="A59:R59"/>
    <mergeCell ref="A61:AN61"/>
    <mergeCell ref="U54:AM54"/>
    <mergeCell ref="U59:AM59"/>
    <mergeCell ref="I146:J146"/>
    <mergeCell ref="AH5:AM5"/>
    <mergeCell ref="A142:AN142"/>
    <mergeCell ref="E6:G6"/>
    <mergeCell ref="G33:H33"/>
    <mergeCell ref="J33:K33"/>
    <mergeCell ref="N33:O33"/>
    <mergeCell ref="Q33:R33"/>
    <mergeCell ref="U57:AM57"/>
    <mergeCell ref="U58:AM58"/>
  </mergeCells>
  <printOptions horizontalCentered="1"/>
  <pageMargins left="0.3937007874015748" right="0.3937007874015748" top="0.3937007874015748" bottom="0.3937007874015748" header="0" footer="0"/>
  <pageSetup fitToHeight="3" fitToWidth="1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SheetLayoutView="100" workbookViewId="0" topLeftCell="A19">
      <selection activeCell="A128" sqref="A128:IV128"/>
    </sheetView>
  </sheetViews>
  <sheetFormatPr defaultColWidth="11.421875" defaultRowHeight="12.75"/>
  <sheetData/>
  <sheetProtection sheet="1" objects="1" scenarios="1" selectLockedCells="1" selectUnlockedCells="1"/>
  <printOptions/>
  <pageMargins left="0.3937007874015748" right="0.3937007874015748" top="0.3937007874015748" bottom="0.3937007874015748" header="0" footer="0"/>
  <pageSetup fitToHeight="3" fitToWidth="1" horizontalDpi="1200" verticalDpi="1200" orientation="portrait" paperSize="9" scale="9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67"/>
  <sheetViews>
    <sheetView showGridLines="0" showZeros="0" view="pageBreakPreview" zoomScaleSheetLayoutView="100" workbookViewId="0" topLeftCell="A1">
      <selection activeCell="A1" sqref="A1:AI1"/>
    </sheetView>
  </sheetViews>
  <sheetFormatPr defaultColWidth="11.421875" defaultRowHeight="16.5" customHeight="1"/>
  <cols>
    <col min="1" max="16384" width="2.7109375" style="221" customWidth="1"/>
  </cols>
  <sheetData>
    <row r="1" spans="1:35" ht="16.5" customHeight="1">
      <c r="A1" s="535" t="str">
        <f>"Zauber &amp; Magische Gegenstände von "&amp;Eingabe!F4</f>
        <v>Zauber &amp; Magische Gegenstände von 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  <c r="AE1" s="535"/>
      <c r="AF1" s="535"/>
      <c r="AG1" s="535"/>
      <c r="AH1" s="535"/>
      <c r="AI1" s="535"/>
    </row>
    <row r="2" ht="16.5" customHeight="1">
      <c r="A2" s="221" t="s">
        <v>220</v>
      </c>
    </row>
    <row r="4" spans="1:10" ht="16.5" customHeight="1">
      <c r="A4" s="221" t="s">
        <v>219</v>
      </c>
      <c r="D4" s="221" t="s">
        <v>221</v>
      </c>
      <c r="G4" s="221" t="s">
        <v>222</v>
      </c>
      <c r="J4" s="221" t="s">
        <v>49</v>
      </c>
    </row>
    <row r="5" spans="1:35" ht="16.5" customHeight="1">
      <c r="A5" s="221">
        <v>0</v>
      </c>
      <c r="D5" s="527">
        <f>Eingabe!E230</f>
        <v>0</v>
      </c>
      <c r="E5" s="528"/>
      <c r="G5" s="527">
        <f>Eingabe!H230</f>
        <v>0</v>
      </c>
      <c r="H5" s="528"/>
      <c r="J5" s="529">
        <f>Eingabe!K230</f>
        <v>0</v>
      </c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  <c r="W5" s="530"/>
      <c r="X5" s="530"/>
      <c r="Y5" s="530"/>
      <c r="Z5" s="530"/>
      <c r="AA5" s="530"/>
      <c r="AB5" s="530"/>
      <c r="AC5" s="530"/>
      <c r="AD5" s="530"/>
      <c r="AE5" s="530"/>
      <c r="AF5" s="530"/>
      <c r="AG5" s="530"/>
      <c r="AH5" s="530"/>
      <c r="AI5" s="531"/>
    </row>
    <row r="6" spans="4:35" ht="16.5" customHeight="1">
      <c r="D6" s="230"/>
      <c r="E6" s="230"/>
      <c r="G6" s="230"/>
      <c r="H6" s="230"/>
      <c r="J6" s="532"/>
      <c r="K6" s="533"/>
      <c r="L6" s="533"/>
      <c r="M6" s="533"/>
      <c r="N6" s="533"/>
      <c r="O6" s="533"/>
      <c r="P6" s="533"/>
      <c r="Q6" s="533"/>
      <c r="R6" s="533"/>
      <c r="S6" s="533"/>
      <c r="T6" s="533"/>
      <c r="U6" s="533"/>
      <c r="V6" s="533"/>
      <c r="W6" s="533"/>
      <c r="X6" s="533"/>
      <c r="Y6" s="533"/>
      <c r="Z6" s="533"/>
      <c r="AA6" s="533"/>
      <c r="AB6" s="533"/>
      <c r="AC6" s="533"/>
      <c r="AD6" s="533"/>
      <c r="AE6" s="533"/>
      <c r="AF6" s="533"/>
      <c r="AG6" s="533"/>
      <c r="AH6" s="533"/>
      <c r="AI6" s="534"/>
    </row>
    <row r="7" spans="10:35" ht="3" customHeight="1"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</row>
    <row r="8" spans="1:35" ht="16.5" customHeight="1">
      <c r="A8" s="221">
        <v>1</v>
      </c>
      <c r="D8" s="527">
        <f>Eingabe!E233</f>
        <v>0</v>
      </c>
      <c r="E8" s="528"/>
      <c r="G8" s="527">
        <f>Eingabe!H233</f>
        <v>0</v>
      </c>
      <c r="H8" s="528"/>
      <c r="J8" s="529">
        <f>Eingabe!K233</f>
        <v>0</v>
      </c>
      <c r="K8" s="530"/>
      <c r="L8" s="530"/>
      <c r="M8" s="530"/>
      <c r="N8" s="530"/>
      <c r="O8" s="530"/>
      <c r="P8" s="530"/>
      <c r="Q8" s="530"/>
      <c r="R8" s="530"/>
      <c r="S8" s="530"/>
      <c r="T8" s="530"/>
      <c r="U8" s="530"/>
      <c r="V8" s="530"/>
      <c r="W8" s="530"/>
      <c r="X8" s="530"/>
      <c r="Y8" s="530"/>
      <c r="Z8" s="530"/>
      <c r="AA8" s="530"/>
      <c r="AB8" s="530"/>
      <c r="AC8" s="530"/>
      <c r="AD8" s="530"/>
      <c r="AE8" s="530"/>
      <c r="AF8" s="530"/>
      <c r="AG8" s="530"/>
      <c r="AH8" s="530"/>
      <c r="AI8" s="531"/>
    </row>
    <row r="9" spans="4:35" ht="16.5" customHeight="1">
      <c r="D9" s="230"/>
      <c r="E9" s="230"/>
      <c r="G9" s="230"/>
      <c r="H9" s="230"/>
      <c r="J9" s="532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33"/>
      <c r="Y9" s="533"/>
      <c r="Z9" s="533"/>
      <c r="AA9" s="533"/>
      <c r="AB9" s="533"/>
      <c r="AC9" s="533"/>
      <c r="AD9" s="533"/>
      <c r="AE9" s="533"/>
      <c r="AF9" s="533"/>
      <c r="AG9" s="533"/>
      <c r="AH9" s="533"/>
      <c r="AI9" s="534"/>
    </row>
    <row r="10" spans="10:35" ht="3" customHeight="1"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</row>
    <row r="11" spans="1:35" ht="16.5" customHeight="1">
      <c r="A11" s="221">
        <v>2</v>
      </c>
      <c r="D11" s="527">
        <f>Eingabe!E236</f>
        <v>0</v>
      </c>
      <c r="E11" s="528"/>
      <c r="G11" s="527">
        <f>Eingabe!H236</f>
        <v>0</v>
      </c>
      <c r="H11" s="528"/>
      <c r="J11" s="529">
        <f>Eingabe!K236</f>
        <v>0</v>
      </c>
      <c r="K11" s="530"/>
      <c r="L11" s="530"/>
      <c r="M11" s="530"/>
      <c r="N11" s="530"/>
      <c r="O11" s="530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  <c r="AE11" s="530"/>
      <c r="AF11" s="530"/>
      <c r="AG11" s="530"/>
      <c r="AH11" s="530"/>
      <c r="AI11" s="531"/>
    </row>
    <row r="12" spans="4:35" ht="16.5" customHeight="1">
      <c r="D12" s="230"/>
      <c r="E12" s="230"/>
      <c r="G12" s="230"/>
      <c r="H12" s="230"/>
      <c r="J12" s="532"/>
      <c r="K12" s="533"/>
      <c r="L12" s="533"/>
      <c r="M12" s="533"/>
      <c r="N12" s="533"/>
      <c r="O12" s="533"/>
      <c r="P12" s="533"/>
      <c r="Q12" s="533"/>
      <c r="R12" s="533"/>
      <c r="S12" s="533"/>
      <c r="T12" s="533"/>
      <c r="U12" s="533"/>
      <c r="V12" s="533"/>
      <c r="W12" s="533"/>
      <c r="X12" s="533"/>
      <c r="Y12" s="533"/>
      <c r="Z12" s="533"/>
      <c r="AA12" s="533"/>
      <c r="AB12" s="533"/>
      <c r="AC12" s="533"/>
      <c r="AD12" s="533"/>
      <c r="AE12" s="533"/>
      <c r="AF12" s="533"/>
      <c r="AG12" s="533"/>
      <c r="AH12" s="533"/>
      <c r="AI12" s="534"/>
    </row>
    <row r="13" spans="10:35" ht="3" customHeight="1"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</row>
    <row r="14" spans="1:35" ht="16.5" customHeight="1">
      <c r="A14" s="221">
        <v>3</v>
      </c>
      <c r="D14" s="527">
        <f>Eingabe!E239</f>
        <v>0</v>
      </c>
      <c r="E14" s="528"/>
      <c r="G14" s="527">
        <f>Eingabe!H239</f>
        <v>0</v>
      </c>
      <c r="H14" s="528"/>
      <c r="J14" s="524">
        <f>Eingabe!K239</f>
        <v>0</v>
      </c>
      <c r="K14" s="525"/>
      <c r="L14" s="525"/>
      <c r="M14" s="525"/>
      <c r="N14" s="525"/>
      <c r="O14" s="525"/>
      <c r="P14" s="525"/>
      <c r="Q14" s="525"/>
      <c r="R14" s="525"/>
      <c r="S14" s="525"/>
      <c r="T14" s="525"/>
      <c r="U14" s="525"/>
      <c r="V14" s="525"/>
      <c r="W14" s="525"/>
      <c r="X14" s="525"/>
      <c r="Y14" s="525"/>
      <c r="Z14" s="525"/>
      <c r="AA14" s="525"/>
      <c r="AB14" s="525"/>
      <c r="AC14" s="525"/>
      <c r="AD14" s="525"/>
      <c r="AE14" s="525"/>
      <c r="AF14" s="525"/>
      <c r="AG14" s="525"/>
      <c r="AH14" s="525"/>
      <c r="AI14" s="526"/>
    </row>
    <row r="15" spans="10:35" ht="3" customHeight="1"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</row>
    <row r="16" spans="1:35" ht="16.5" customHeight="1">
      <c r="A16" s="221">
        <v>4</v>
      </c>
      <c r="D16" s="527">
        <f>Eingabe!E241</f>
        <v>0</v>
      </c>
      <c r="E16" s="528"/>
      <c r="G16" s="527">
        <f>Eingabe!H241</f>
        <v>0</v>
      </c>
      <c r="H16" s="528"/>
      <c r="J16" s="524">
        <f>Eingabe!K241</f>
        <v>0</v>
      </c>
      <c r="K16" s="525"/>
      <c r="L16" s="525"/>
      <c r="M16" s="525"/>
      <c r="N16" s="525"/>
      <c r="O16" s="525"/>
      <c r="P16" s="525"/>
      <c r="Q16" s="525"/>
      <c r="R16" s="525"/>
      <c r="S16" s="525"/>
      <c r="T16" s="525"/>
      <c r="U16" s="525"/>
      <c r="V16" s="525"/>
      <c r="W16" s="525"/>
      <c r="X16" s="525"/>
      <c r="Y16" s="525"/>
      <c r="Z16" s="525"/>
      <c r="AA16" s="525"/>
      <c r="AB16" s="525"/>
      <c r="AC16" s="525"/>
      <c r="AD16" s="525"/>
      <c r="AE16" s="525"/>
      <c r="AF16" s="525"/>
      <c r="AG16" s="525"/>
      <c r="AH16" s="525"/>
      <c r="AI16" s="526"/>
    </row>
    <row r="17" spans="10:35" ht="3" customHeight="1"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</row>
    <row r="18" spans="1:35" ht="16.5" customHeight="1">
      <c r="A18" s="221">
        <v>5</v>
      </c>
      <c r="D18" s="527">
        <f>Eingabe!E243</f>
        <v>0</v>
      </c>
      <c r="E18" s="528"/>
      <c r="G18" s="527">
        <f>Eingabe!H243</f>
        <v>0</v>
      </c>
      <c r="H18" s="528"/>
      <c r="J18" s="524">
        <f>Eingabe!K243</f>
        <v>0</v>
      </c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525"/>
      <c r="X18" s="525"/>
      <c r="Y18" s="525"/>
      <c r="Z18" s="525"/>
      <c r="AA18" s="525"/>
      <c r="AB18" s="525"/>
      <c r="AC18" s="525"/>
      <c r="AD18" s="525"/>
      <c r="AE18" s="525"/>
      <c r="AF18" s="525"/>
      <c r="AG18" s="525"/>
      <c r="AH18" s="525"/>
      <c r="AI18" s="526"/>
    </row>
    <row r="19" spans="10:35" ht="3" customHeight="1"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</row>
    <row r="20" spans="1:35" ht="16.5" customHeight="1">
      <c r="A20" s="221">
        <v>6</v>
      </c>
      <c r="D20" s="527">
        <f>Eingabe!E245</f>
        <v>0</v>
      </c>
      <c r="E20" s="528"/>
      <c r="G20" s="527">
        <f>Eingabe!H245</f>
        <v>0</v>
      </c>
      <c r="H20" s="528"/>
      <c r="J20" s="524">
        <f>Eingabe!K245</f>
        <v>0</v>
      </c>
      <c r="K20" s="525"/>
      <c r="L20" s="525"/>
      <c r="M20" s="525"/>
      <c r="N20" s="525"/>
      <c r="O20" s="525"/>
      <c r="P20" s="525"/>
      <c r="Q20" s="525"/>
      <c r="R20" s="525"/>
      <c r="S20" s="525"/>
      <c r="T20" s="525"/>
      <c r="U20" s="525"/>
      <c r="V20" s="525"/>
      <c r="W20" s="525"/>
      <c r="X20" s="525"/>
      <c r="Y20" s="525"/>
      <c r="Z20" s="525"/>
      <c r="AA20" s="525"/>
      <c r="AB20" s="525"/>
      <c r="AC20" s="525"/>
      <c r="AD20" s="525"/>
      <c r="AE20" s="525"/>
      <c r="AF20" s="525"/>
      <c r="AG20" s="525"/>
      <c r="AH20" s="525"/>
      <c r="AI20" s="526"/>
    </row>
    <row r="21" spans="10:35" ht="3" customHeight="1"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</row>
    <row r="22" spans="1:35" ht="16.5" customHeight="1">
      <c r="A22" s="221">
        <v>7</v>
      </c>
      <c r="D22" s="527">
        <f>Eingabe!E247</f>
        <v>0</v>
      </c>
      <c r="E22" s="528"/>
      <c r="G22" s="527">
        <f>Eingabe!H247</f>
        <v>0</v>
      </c>
      <c r="H22" s="528"/>
      <c r="J22" s="524">
        <f>Eingabe!K247</f>
        <v>0</v>
      </c>
      <c r="K22" s="525"/>
      <c r="L22" s="525"/>
      <c r="M22" s="525"/>
      <c r="N22" s="525"/>
      <c r="O22" s="525"/>
      <c r="P22" s="525"/>
      <c r="Q22" s="525"/>
      <c r="R22" s="525"/>
      <c r="S22" s="525"/>
      <c r="T22" s="525"/>
      <c r="U22" s="525"/>
      <c r="V22" s="525"/>
      <c r="W22" s="525"/>
      <c r="X22" s="525"/>
      <c r="Y22" s="525"/>
      <c r="Z22" s="525"/>
      <c r="AA22" s="525"/>
      <c r="AB22" s="525"/>
      <c r="AC22" s="525"/>
      <c r="AD22" s="525"/>
      <c r="AE22" s="525"/>
      <c r="AF22" s="525"/>
      <c r="AG22" s="525"/>
      <c r="AH22" s="525"/>
      <c r="AI22" s="526"/>
    </row>
    <row r="23" spans="10:35" ht="3" customHeight="1"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</row>
    <row r="24" spans="1:35" ht="16.5" customHeight="1">
      <c r="A24" s="221">
        <v>8</v>
      </c>
      <c r="D24" s="527">
        <f>Eingabe!E249</f>
        <v>0</v>
      </c>
      <c r="E24" s="528"/>
      <c r="G24" s="527">
        <f>Eingabe!H249</f>
        <v>0</v>
      </c>
      <c r="H24" s="528"/>
      <c r="J24" s="524">
        <f>Eingabe!K249</f>
        <v>0</v>
      </c>
      <c r="K24" s="525"/>
      <c r="L24" s="525"/>
      <c r="M24" s="525"/>
      <c r="N24" s="525"/>
      <c r="O24" s="525"/>
      <c r="P24" s="525"/>
      <c r="Q24" s="525"/>
      <c r="R24" s="525"/>
      <c r="S24" s="525"/>
      <c r="T24" s="525"/>
      <c r="U24" s="525"/>
      <c r="V24" s="525"/>
      <c r="W24" s="525"/>
      <c r="X24" s="525"/>
      <c r="Y24" s="525"/>
      <c r="Z24" s="525"/>
      <c r="AA24" s="525"/>
      <c r="AB24" s="525"/>
      <c r="AC24" s="525"/>
      <c r="AD24" s="525"/>
      <c r="AE24" s="525"/>
      <c r="AF24" s="525"/>
      <c r="AG24" s="525"/>
      <c r="AH24" s="525"/>
      <c r="AI24" s="526"/>
    </row>
    <row r="25" spans="10:35" ht="3" customHeight="1"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</row>
    <row r="26" spans="1:35" ht="16.5" customHeight="1">
      <c r="A26" s="221">
        <v>9</v>
      </c>
      <c r="D26" s="527">
        <f>Eingabe!E251</f>
        <v>0</v>
      </c>
      <c r="E26" s="528"/>
      <c r="G26" s="527">
        <f>Eingabe!H251</f>
        <v>0</v>
      </c>
      <c r="H26" s="528"/>
      <c r="J26" s="524">
        <f>Eingabe!K251</f>
        <v>0</v>
      </c>
      <c r="K26" s="525"/>
      <c r="L26" s="525"/>
      <c r="M26" s="525"/>
      <c r="N26" s="525"/>
      <c r="O26" s="525"/>
      <c r="P26" s="525"/>
      <c r="Q26" s="525"/>
      <c r="R26" s="525"/>
      <c r="S26" s="525"/>
      <c r="T26" s="525"/>
      <c r="U26" s="525"/>
      <c r="V26" s="525"/>
      <c r="W26" s="525"/>
      <c r="X26" s="525"/>
      <c r="Y26" s="525"/>
      <c r="Z26" s="525"/>
      <c r="AA26" s="525"/>
      <c r="AB26" s="525"/>
      <c r="AC26" s="525"/>
      <c r="AD26" s="525"/>
      <c r="AE26" s="525"/>
      <c r="AF26" s="525"/>
      <c r="AG26" s="525"/>
      <c r="AH26" s="525"/>
      <c r="AI26" s="526"/>
    </row>
    <row r="28" ht="16.5" customHeight="1">
      <c r="A28" s="221" t="s">
        <v>225</v>
      </c>
    </row>
    <row r="29" spans="1:20" ht="16.5" customHeight="1">
      <c r="A29" s="221" t="s">
        <v>226</v>
      </c>
      <c r="N29" s="221" t="s">
        <v>222</v>
      </c>
      <c r="T29" s="221" t="s">
        <v>227</v>
      </c>
    </row>
    <row r="30" spans="1:35" ht="16.5" customHeight="1">
      <c r="A30" s="524">
        <f>Eingabe!B255</f>
        <v>0</v>
      </c>
      <c r="B30" s="525"/>
      <c r="C30" s="525"/>
      <c r="D30" s="525"/>
      <c r="E30" s="525"/>
      <c r="F30" s="525"/>
      <c r="G30" s="525"/>
      <c r="H30" s="525"/>
      <c r="I30" s="525"/>
      <c r="J30" s="525"/>
      <c r="K30" s="525"/>
      <c r="L30" s="526"/>
      <c r="N30" s="527">
        <f>Eingabe!O255</f>
        <v>0</v>
      </c>
      <c r="O30" s="528"/>
      <c r="P30" s="222"/>
      <c r="Q30" s="524">
        <f>Eingabe!R255</f>
        <v>0</v>
      </c>
      <c r="R30" s="525"/>
      <c r="S30" s="525"/>
      <c r="T30" s="525"/>
      <c r="U30" s="525"/>
      <c r="V30" s="525"/>
      <c r="W30" s="525"/>
      <c r="X30" s="525"/>
      <c r="Y30" s="525"/>
      <c r="Z30" s="525"/>
      <c r="AA30" s="525"/>
      <c r="AB30" s="525"/>
      <c r="AC30" s="525"/>
      <c r="AD30" s="525"/>
      <c r="AE30" s="525"/>
      <c r="AF30" s="525"/>
      <c r="AG30" s="525"/>
      <c r="AH30" s="525"/>
      <c r="AI30" s="526"/>
    </row>
    <row r="31" spans="1:35" ht="3" customHeight="1">
      <c r="A31" s="226"/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</row>
    <row r="32" spans="1:35" ht="16.5" customHeight="1">
      <c r="A32" s="524">
        <f>Eingabe!B257</f>
        <v>0</v>
      </c>
      <c r="B32" s="525"/>
      <c r="C32" s="525"/>
      <c r="D32" s="525"/>
      <c r="E32" s="525"/>
      <c r="F32" s="525"/>
      <c r="G32" s="525"/>
      <c r="H32" s="525"/>
      <c r="I32" s="525"/>
      <c r="J32" s="525"/>
      <c r="K32" s="525"/>
      <c r="L32" s="526"/>
      <c r="N32" s="527">
        <f>Eingabe!O257</f>
        <v>0</v>
      </c>
      <c r="O32" s="528"/>
      <c r="P32" s="222"/>
      <c r="Q32" s="524">
        <f>Eingabe!R257</f>
        <v>0</v>
      </c>
      <c r="R32" s="525"/>
      <c r="S32" s="525"/>
      <c r="T32" s="525"/>
      <c r="U32" s="525"/>
      <c r="V32" s="525"/>
      <c r="W32" s="525"/>
      <c r="X32" s="525"/>
      <c r="Y32" s="525"/>
      <c r="Z32" s="525"/>
      <c r="AA32" s="525"/>
      <c r="AB32" s="525"/>
      <c r="AC32" s="525"/>
      <c r="AD32" s="525"/>
      <c r="AE32" s="525"/>
      <c r="AF32" s="525"/>
      <c r="AG32" s="525"/>
      <c r="AH32" s="525"/>
      <c r="AI32" s="526"/>
    </row>
    <row r="33" spans="1:35" ht="3" customHeight="1">
      <c r="A33" s="226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</row>
    <row r="34" spans="1:35" ht="16.5" customHeight="1">
      <c r="A34" s="524">
        <f>Eingabe!B259</f>
        <v>0</v>
      </c>
      <c r="B34" s="525"/>
      <c r="C34" s="525"/>
      <c r="D34" s="525"/>
      <c r="E34" s="525"/>
      <c r="F34" s="525"/>
      <c r="G34" s="525"/>
      <c r="H34" s="525"/>
      <c r="I34" s="525"/>
      <c r="J34" s="525"/>
      <c r="K34" s="525"/>
      <c r="L34" s="526"/>
      <c r="N34" s="527">
        <f>Eingabe!O259</f>
        <v>0</v>
      </c>
      <c r="O34" s="528"/>
      <c r="P34" s="222"/>
      <c r="Q34" s="524">
        <f>Eingabe!R259</f>
        <v>0</v>
      </c>
      <c r="R34" s="525"/>
      <c r="S34" s="525"/>
      <c r="T34" s="525"/>
      <c r="U34" s="525"/>
      <c r="V34" s="525"/>
      <c r="W34" s="525"/>
      <c r="X34" s="525"/>
      <c r="Y34" s="525"/>
      <c r="Z34" s="525"/>
      <c r="AA34" s="525"/>
      <c r="AB34" s="525"/>
      <c r="AC34" s="525"/>
      <c r="AD34" s="525"/>
      <c r="AE34" s="525"/>
      <c r="AF34" s="525"/>
      <c r="AG34" s="525"/>
      <c r="AH34" s="525"/>
      <c r="AI34" s="526"/>
    </row>
    <row r="35" spans="1:35" ht="3" customHeight="1">
      <c r="A35" s="226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</row>
    <row r="36" spans="1:35" ht="16.5" customHeight="1">
      <c r="A36" s="524">
        <f>Eingabe!B261</f>
        <v>0</v>
      </c>
      <c r="B36" s="525"/>
      <c r="C36" s="525"/>
      <c r="D36" s="525"/>
      <c r="E36" s="525"/>
      <c r="F36" s="525"/>
      <c r="G36" s="525"/>
      <c r="H36" s="525"/>
      <c r="I36" s="525"/>
      <c r="J36" s="525"/>
      <c r="K36" s="525"/>
      <c r="L36" s="526"/>
      <c r="N36" s="527">
        <f>Eingabe!O261</f>
        <v>0</v>
      </c>
      <c r="O36" s="528"/>
      <c r="P36" s="222"/>
      <c r="Q36" s="524">
        <f>Eingabe!R261</f>
        <v>0</v>
      </c>
      <c r="R36" s="525"/>
      <c r="S36" s="525"/>
      <c r="T36" s="525"/>
      <c r="U36" s="525"/>
      <c r="V36" s="525"/>
      <c r="W36" s="525"/>
      <c r="X36" s="525"/>
      <c r="Y36" s="525"/>
      <c r="Z36" s="525"/>
      <c r="AA36" s="525"/>
      <c r="AB36" s="525"/>
      <c r="AC36" s="525"/>
      <c r="AD36" s="525"/>
      <c r="AE36" s="525"/>
      <c r="AF36" s="525"/>
      <c r="AG36" s="525"/>
      <c r="AH36" s="525"/>
      <c r="AI36" s="526"/>
    </row>
    <row r="37" spans="1:35" ht="3" customHeight="1">
      <c r="A37" s="226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</row>
    <row r="38" spans="1:35" ht="16.5" customHeight="1">
      <c r="A38" s="524">
        <f>Eingabe!B263</f>
        <v>0</v>
      </c>
      <c r="B38" s="525"/>
      <c r="C38" s="525"/>
      <c r="D38" s="525"/>
      <c r="E38" s="525"/>
      <c r="F38" s="525"/>
      <c r="G38" s="525"/>
      <c r="H38" s="525"/>
      <c r="I38" s="525"/>
      <c r="J38" s="525"/>
      <c r="K38" s="525"/>
      <c r="L38" s="526"/>
      <c r="N38" s="527">
        <f>Eingabe!O263</f>
        <v>0</v>
      </c>
      <c r="O38" s="528"/>
      <c r="P38" s="222"/>
      <c r="Q38" s="524">
        <f>Eingabe!R263</f>
        <v>0</v>
      </c>
      <c r="R38" s="525"/>
      <c r="S38" s="525"/>
      <c r="T38" s="525"/>
      <c r="U38" s="525"/>
      <c r="V38" s="525"/>
      <c r="W38" s="525"/>
      <c r="X38" s="525"/>
      <c r="Y38" s="525"/>
      <c r="Z38" s="525"/>
      <c r="AA38" s="525"/>
      <c r="AB38" s="525"/>
      <c r="AC38" s="525"/>
      <c r="AD38" s="525"/>
      <c r="AE38" s="525"/>
      <c r="AF38" s="525"/>
      <c r="AG38" s="525"/>
      <c r="AH38" s="525"/>
      <c r="AI38" s="526"/>
    </row>
    <row r="39" spans="1:35" ht="3" customHeight="1">
      <c r="A39" s="226"/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</row>
    <row r="40" spans="1:35" ht="16.5" customHeight="1">
      <c r="A40" s="524">
        <f>Eingabe!B265</f>
        <v>0</v>
      </c>
      <c r="B40" s="525"/>
      <c r="C40" s="525"/>
      <c r="D40" s="525"/>
      <c r="E40" s="525"/>
      <c r="F40" s="525"/>
      <c r="G40" s="525"/>
      <c r="H40" s="525"/>
      <c r="I40" s="525"/>
      <c r="J40" s="525"/>
      <c r="K40" s="525"/>
      <c r="L40" s="526"/>
      <c r="N40" s="527">
        <f>Eingabe!O265</f>
        <v>0</v>
      </c>
      <c r="O40" s="528"/>
      <c r="P40" s="222"/>
      <c r="Q40" s="524">
        <f>Eingabe!R265</f>
        <v>0</v>
      </c>
      <c r="R40" s="525"/>
      <c r="S40" s="525"/>
      <c r="T40" s="525"/>
      <c r="U40" s="525"/>
      <c r="V40" s="525"/>
      <c r="W40" s="525"/>
      <c r="X40" s="525"/>
      <c r="Y40" s="525"/>
      <c r="Z40" s="525"/>
      <c r="AA40" s="525"/>
      <c r="AB40" s="525"/>
      <c r="AC40" s="525"/>
      <c r="AD40" s="525"/>
      <c r="AE40" s="525"/>
      <c r="AF40" s="525"/>
      <c r="AG40" s="525"/>
      <c r="AH40" s="525"/>
      <c r="AI40" s="526"/>
    </row>
    <row r="41" spans="1:35" ht="3" customHeight="1">
      <c r="A41" s="226"/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</row>
    <row r="42" spans="1:35" ht="16.5" customHeight="1">
      <c r="A42" s="524">
        <f>Eingabe!B267</f>
        <v>0</v>
      </c>
      <c r="B42" s="525"/>
      <c r="C42" s="525"/>
      <c r="D42" s="525"/>
      <c r="E42" s="525"/>
      <c r="F42" s="525"/>
      <c r="G42" s="525"/>
      <c r="H42" s="525"/>
      <c r="I42" s="525"/>
      <c r="J42" s="525"/>
      <c r="K42" s="525"/>
      <c r="L42" s="526"/>
      <c r="N42" s="527">
        <f>Eingabe!O267</f>
        <v>0</v>
      </c>
      <c r="O42" s="528"/>
      <c r="P42" s="222"/>
      <c r="Q42" s="524">
        <f>Eingabe!R267</f>
        <v>0</v>
      </c>
      <c r="R42" s="525"/>
      <c r="S42" s="525"/>
      <c r="T42" s="525"/>
      <c r="U42" s="525"/>
      <c r="V42" s="525"/>
      <c r="W42" s="525"/>
      <c r="X42" s="525"/>
      <c r="Y42" s="525"/>
      <c r="Z42" s="525"/>
      <c r="AA42" s="525"/>
      <c r="AB42" s="525"/>
      <c r="AC42" s="525"/>
      <c r="AD42" s="525"/>
      <c r="AE42" s="525"/>
      <c r="AF42" s="525"/>
      <c r="AG42" s="525"/>
      <c r="AH42" s="525"/>
      <c r="AI42" s="526"/>
    </row>
    <row r="43" spans="1:35" ht="3" customHeight="1">
      <c r="A43" s="226"/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</row>
    <row r="44" spans="1:35" ht="16.5" customHeight="1">
      <c r="A44" s="524">
        <f>Eingabe!B269</f>
        <v>0</v>
      </c>
      <c r="B44" s="525"/>
      <c r="C44" s="525"/>
      <c r="D44" s="525"/>
      <c r="E44" s="525"/>
      <c r="F44" s="525"/>
      <c r="G44" s="525"/>
      <c r="H44" s="525"/>
      <c r="I44" s="525"/>
      <c r="J44" s="525"/>
      <c r="K44" s="525"/>
      <c r="L44" s="526"/>
      <c r="N44" s="527">
        <f>Eingabe!O269</f>
        <v>0</v>
      </c>
      <c r="O44" s="528"/>
      <c r="P44" s="222"/>
      <c r="Q44" s="524">
        <f>Eingabe!R269</f>
        <v>0</v>
      </c>
      <c r="R44" s="525"/>
      <c r="S44" s="525"/>
      <c r="T44" s="525"/>
      <c r="U44" s="525"/>
      <c r="V44" s="525"/>
      <c r="W44" s="525"/>
      <c r="X44" s="525"/>
      <c r="Y44" s="525"/>
      <c r="Z44" s="525"/>
      <c r="AA44" s="525"/>
      <c r="AB44" s="525"/>
      <c r="AC44" s="525"/>
      <c r="AD44" s="525"/>
      <c r="AE44" s="525"/>
      <c r="AF44" s="525"/>
      <c r="AG44" s="525"/>
      <c r="AH44" s="525"/>
      <c r="AI44" s="526"/>
    </row>
    <row r="45" spans="19:35" ht="3" customHeight="1"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</row>
    <row r="46" spans="19:35" ht="16.5" customHeight="1"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</row>
    <row r="47" ht="16.5" customHeight="1">
      <c r="A47" s="221" t="s">
        <v>228</v>
      </c>
    </row>
    <row r="48" spans="1:20" ht="16.5" customHeight="1">
      <c r="A48" s="221" t="s">
        <v>226</v>
      </c>
      <c r="N48" s="221" t="s">
        <v>222</v>
      </c>
      <c r="T48" s="221" t="s">
        <v>227</v>
      </c>
    </row>
    <row r="49" spans="1:35" ht="16.5" customHeight="1">
      <c r="A49" s="524">
        <f>Eingabe!B274</f>
        <v>0</v>
      </c>
      <c r="B49" s="525"/>
      <c r="C49" s="525"/>
      <c r="D49" s="525"/>
      <c r="E49" s="525"/>
      <c r="F49" s="525"/>
      <c r="G49" s="525"/>
      <c r="H49" s="525"/>
      <c r="I49" s="525"/>
      <c r="J49" s="525"/>
      <c r="K49" s="525"/>
      <c r="L49" s="526"/>
      <c r="N49" s="527">
        <f>Eingabe!O274</f>
        <v>0</v>
      </c>
      <c r="O49" s="528"/>
      <c r="P49" s="222"/>
      <c r="Q49" s="524">
        <f>Eingabe!R274</f>
        <v>0</v>
      </c>
      <c r="R49" s="525"/>
      <c r="S49" s="525"/>
      <c r="T49" s="525"/>
      <c r="U49" s="525"/>
      <c r="V49" s="525"/>
      <c r="W49" s="525"/>
      <c r="X49" s="525"/>
      <c r="Y49" s="525"/>
      <c r="Z49" s="525"/>
      <c r="AA49" s="525"/>
      <c r="AB49" s="525"/>
      <c r="AC49" s="525"/>
      <c r="AD49" s="525"/>
      <c r="AE49" s="525"/>
      <c r="AF49" s="525"/>
      <c r="AG49" s="525"/>
      <c r="AH49" s="525"/>
      <c r="AI49" s="526"/>
    </row>
    <row r="50" spans="19:35" ht="3" customHeight="1"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</row>
    <row r="51" spans="1:35" ht="16.5" customHeight="1">
      <c r="A51" s="524">
        <f>Eingabe!B276</f>
        <v>0</v>
      </c>
      <c r="B51" s="525"/>
      <c r="C51" s="525"/>
      <c r="D51" s="525"/>
      <c r="E51" s="525"/>
      <c r="F51" s="525"/>
      <c r="G51" s="525"/>
      <c r="H51" s="525"/>
      <c r="I51" s="525"/>
      <c r="J51" s="525"/>
      <c r="K51" s="525"/>
      <c r="L51" s="526"/>
      <c r="N51" s="527">
        <f>Eingabe!O276</f>
        <v>0</v>
      </c>
      <c r="O51" s="528"/>
      <c r="P51" s="222"/>
      <c r="Q51" s="524">
        <f>Eingabe!R276</f>
        <v>0</v>
      </c>
      <c r="R51" s="525"/>
      <c r="S51" s="525"/>
      <c r="T51" s="525"/>
      <c r="U51" s="525"/>
      <c r="V51" s="525"/>
      <c r="W51" s="525"/>
      <c r="X51" s="525"/>
      <c r="Y51" s="525"/>
      <c r="Z51" s="525"/>
      <c r="AA51" s="525"/>
      <c r="AB51" s="525"/>
      <c r="AC51" s="525"/>
      <c r="AD51" s="525"/>
      <c r="AE51" s="525"/>
      <c r="AF51" s="525"/>
      <c r="AG51" s="525"/>
      <c r="AH51" s="525"/>
      <c r="AI51" s="526"/>
    </row>
    <row r="52" spans="19:35" ht="3" customHeight="1"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</row>
    <row r="53" spans="1:35" ht="16.5" customHeight="1">
      <c r="A53" s="524">
        <f>Eingabe!B278</f>
        <v>0</v>
      </c>
      <c r="B53" s="525"/>
      <c r="C53" s="525"/>
      <c r="D53" s="525"/>
      <c r="E53" s="525"/>
      <c r="F53" s="525"/>
      <c r="G53" s="525"/>
      <c r="H53" s="525"/>
      <c r="I53" s="525"/>
      <c r="J53" s="525"/>
      <c r="K53" s="525"/>
      <c r="L53" s="526"/>
      <c r="N53" s="527">
        <f>Eingabe!O278</f>
        <v>0</v>
      </c>
      <c r="O53" s="528"/>
      <c r="P53" s="222"/>
      <c r="Q53" s="524">
        <f>Eingabe!R278</f>
        <v>0</v>
      </c>
      <c r="R53" s="525"/>
      <c r="S53" s="525"/>
      <c r="T53" s="525"/>
      <c r="U53" s="525"/>
      <c r="V53" s="525"/>
      <c r="W53" s="525"/>
      <c r="X53" s="525"/>
      <c r="Y53" s="525"/>
      <c r="Z53" s="525"/>
      <c r="AA53" s="525"/>
      <c r="AB53" s="525"/>
      <c r="AC53" s="525"/>
      <c r="AD53" s="525"/>
      <c r="AE53" s="525"/>
      <c r="AF53" s="525"/>
      <c r="AG53" s="525"/>
      <c r="AH53" s="525"/>
      <c r="AI53" s="526"/>
    </row>
    <row r="54" spans="19:35" ht="3" customHeight="1"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</row>
    <row r="55" spans="1:35" ht="16.5" customHeight="1">
      <c r="A55" s="524">
        <f>Eingabe!B280</f>
        <v>0</v>
      </c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6"/>
      <c r="N55" s="527">
        <f>Eingabe!O280</f>
        <v>0</v>
      </c>
      <c r="O55" s="528"/>
      <c r="P55" s="222"/>
      <c r="Q55" s="524">
        <f>Eingabe!R280</f>
        <v>0</v>
      </c>
      <c r="R55" s="525"/>
      <c r="S55" s="525"/>
      <c r="T55" s="525"/>
      <c r="U55" s="525"/>
      <c r="V55" s="525"/>
      <c r="W55" s="525"/>
      <c r="X55" s="525"/>
      <c r="Y55" s="525"/>
      <c r="Z55" s="525"/>
      <c r="AA55" s="525"/>
      <c r="AB55" s="525"/>
      <c r="AC55" s="525"/>
      <c r="AD55" s="525"/>
      <c r="AE55" s="525"/>
      <c r="AF55" s="525"/>
      <c r="AG55" s="525"/>
      <c r="AH55" s="525"/>
      <c r="AI55" s="526"/>
    </row>
    <row r="56" spans="19:35" ht="3" customHeight="1"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</row>
    <row r="57" spans="1:35" ht="16.5" customHeight="1">
      <c r="A57" s="524">
        <f>Eingabe!B282</f>
        <v>0</v>
      </c>
      <c r="B57" s="525"/>
      <c r="C57" s="525"/>
      <c r="D57" s="525"/>
      <c r="E57" s="525"/>
      <c r="F57" s="525"/>
      <c r="G57" s="525"/>
      <c r="H57" s="525"/>
      <c r="I57" s="525"/>
      <c r="J57" s="525"/>
      <c r="K57" s="525"/>
      <c r="L57" s="526"/>
      <c r="N57" s="527">
        <f>Eingabe!O282</f>
        <v>0</v>
      </c>
      <c r="O57" s="528"/>
      <c r="P57" s="222"/>
      <c r="Q57" s="524">
        <f>Eingabe!R282</f>
        <v>0</v>
      </c>
      <c r="R57" s="525"/>
      <c r="S57" s="525"/>
      <c r="T57" s="525"/>
      <c r="U57" s="525"/>
      <c r="V57" s="525"/>
      <c r="W57" s="525"/>
      <c r="X57" s="525"/>
      <c r="Y57" s="525"/>
      <c r="Z57" s="525"/>
      <c r="AA57" s="525"/>
      <c r="AB57" s="525"/>
      <c r="AC57" s="525"/>
      <c r="AD57" s="525"/>
      <c r="AE57" s="525"/>
      <c r="AF57" s="525"/>
      <c r="AG57" s="525"/>
      <c r="AH57" s="525"/>
      <c r="AI57" s="526"/>
    </row>
    <row r="59" spans="1:14" ht="16.5" customHeight="1">
      <c r="A59" s="221" t="s">
        <v>50</v>
      </c>
      <c r="N59" s="221" t="s">
        <v>229</v>
      </c>
    </row>
    <row r="60" spans="1:35" ht="16.5" customHeight="1">
      <c r="A60" s="524">
        <f>Eingabe!B285</f>
        <v>0</v>
      </c>
      <c r="B60" s="525"/>
      <c r="C60" s="525"/>
      <c r="D60" s="525"/>
      <c r="E60" s="525"/>
      <c r="F60" s="525"/>
      <c r="G60" s="525"/>
      <c r="H60" s="525"/>
      <c r="I60" s="525"/>
      <c r="J60" s="525"/>
      <c r="K60" s="525"/>
      <c r="L60" s="526"/>
      <c r="M60" s="222"/>
      <c r="N60" s="527">
        <f>Eingabe!O285</f>
        <v>0</v>
      </c>
      <c r="O60" s="528"/>
      <c r="P60" s="222"/>
      <c r="Q60" s="524"/>
      <c r="R60" s="525"/>
      <c r="S60" s="525"/>
      <c r="T60" s="525"/>
      <c r="U60" s="525"/>
      <c r="V60" s="525"/>
      <c r="W60" s="525"/>
      <c r="X60" s="525"/>
      <c r="Y60" s="525"/>
      <c r="Z60" s="525"/>
      <c r="AA60" s="525"/>
      <c r="AB60" s="525"/>
      <c r="AC60" s="525"/>
      <c r="AD60" s="525"/>
      <c r="AE60" s="525"/>
      <c r="AF60" s="525"/>
      <c r="AG60" s="525"/>
      <c r="AH60" s="525"/>
      <c r="AI60" s="526"/>
    </row>
    <row r="61" spans="1:30" ht="3" customHeight="1">
      <c r="A61" s="222"/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T61" s="222"/>
      <c r="U61" s="222"/>
      <c r="V61" s="222"/>
      <c r="W61" s="222"/>
      <c r="X61" s="222"/>
      <c r="Z61" s="222"/>
      <c r="AA61" s="222"/>
      <c r="AB61" s="222"/>
      <c r="AC61" s="222"/>
      <c r="AD61" s="222"/>
    </row>
    <row r="62" spans="1:35" ht="16.5" customHeight="1">
      <c r="A62" s="524">
        <f>Eingabe!B287</f>
        <v>0</v>
      </c>
      <c r="B62" s="525"/>
      <c r="C62" s="525"/>
      <c r="D62" s="525"/>
      <c r="E62" s="525"/>
      <c r="F62" s="525"/>
      <c r="G62" s="525"/>
      <c r="H62" s="525"/>
      <c r="I62" s="525"/>
      <c r="J62" s="525"/>
      <c r="K62" s="525"/>
      <c r="L62" s="526"/>
      <c r="M62" s="222"/>
      <c r="N62" s="527">
        <f>Eingabe!O287</f>
        <v>0</v>
      </c>
      <c r="O62" s="528"/>
      <c r="Q62" s="524"/>
      <c r="R62" s="525"/>
      <c r="S62" s="525"/>
      <c r="T62" s="525"/>
      <c r="U62" s="525"/>
      <c r="V62" s="525"/>
      <c r="W62" s="525"/>
      <c r="X62" s="525"/>
      <c r="Y62" s="525"/>
      <c r="Z62" s="525"/>
      <c r="AA62" s="525"/>
      <c r="AB62" s="525"/>
      <c r="AC62" s="525"/>
      <c r="AD62" s="525"/>
      <c r="AE62" s="525"/>
      <c r="AF62" s="525"/>
      <c r="AG62" s="525"/>
      <c r="AH62" s="525"/>
      <c r="AI62" s="526"/>
    </row>
    <row r="63" spans="1:30" ht="3" customHeight="1">
      <c r="A63" s="222"/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T63" s="222"/>
      <c r="U63" s="222"/>
      <c r="V63" s="222"/>
      <c r="W63" s="222"/>
      <c r="X63" s="222"/>
      <c r="Z63" s="222"/>
      <c r="AA63" s="222"/>
      <c r="AB63" s="222"/>
      <c r="AC63" s="222"/>
      <c r="AD63" s="222"/>
    </row>
    <row r="64" spans="1:35" ht="16.5" customHeight="1">
      <c r="A64" s="524">
        <f>Eingabe!B289</f>
        <v>0</v>
      </c>
      <c r="B64" s="525"/>
      <c r="C64" s="525"/>
      <c r="D64" s="525"/>
      <c r="E64" s="525"/>
      <c r="F64" s="525"/>
      <c r="G64" s="525"/>
      <c r="H64" s="525"/>
      <c r="I64" s="525"/>
      <c r="J64" s="525"/>
      <c r="K64" s="525"/>
      <c r="L64" s="526"/>
      <c r="M64" s="222"/>
      <c r="N64" s="527">
        <f>Eingabe!O289</f>
        <v>0</v>
      </c>
      <c r="O64" s="528"/>
      <c r="P64" s="222"/>
      <c r="Q64" s="524"/>
      <c r="R64" s="525"/>
      <c r="S64" s="525"/>
      <c r="T64" s="525"/>
      <c r="U64" s="525"/>
      <c r="V64" s="525"/>
      <c r="W64" s="525"/>
      <c r="X64" s="525"/>
      <c r="Y64" s="525"/>
      <c r="Z64" s="525"/>
      <c r="AA64" s="525"/>
      <c r="AB64" s="525"/>
      <c r="AC64" s="525"/>
      <c r="AD64" s="525"/>
      <c r="AE64" s="525"/>
      <c r="AF64" s="525"/>
      <c r="AG64" s="525"/>
      <c r="AH64" s="525"/>
      <c r="AI64" s="526"/>
    </row>
    <row r="65" spans="1:13" ht="16.5" customHeight="1">
      <c r="A65" s="222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</row>
    <row r="66" spans="1:30" ht="16.5" customHeight="1">
      <c r="A66" s="222"/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T66" s="222"/>
      <c r="U66" s="222"/>
      <c r="V66" s="222"/>
      <c r="W66" s="222"/>
      <c r="X66" s="222"/>
      <c r="Z66" s="222"/>
      <c r="AA66" s="222"/>
      <c r="AB66" s="222"/>
      <c r="AC66" s="222"/>
      <c r="AD66" s="222"/>
    </row>
    <row r="67" spans="1:30" ht="16.5" customHeight="1">
      <c r="A67" s="222"/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T67" s="222"/>
      <c r="U67" s="222"/>
      <c r="V67" s="222"/>
      <c r="W67" s="222"/>
      <c r="X67" s="222"/>
      <c r="Z67" s="222"/>
      <c r="AA67" s="222"/>
      <c r="AB67" s="222"/>
      <c r="AC67" s="222"/>
      <c r="AD67" s="222"/>
    </row>
  </sheetData>
  <sheetProtection sheet="1" objects="1" scenarios="1" selectLockedCells="1"/>
  <mergeCells count="79">
    <mergeCell ref="A1:AI1"/>
    <mergeCell ref="D5:E5"/>
    <mergeCell ref="D8:E8"/>
    <mergeCell ref="D11:E11"/>
    <mergeCell ref="G5:H5"/>
    <mergeCell ref="G8:H8"/>
    <mergeCell ref="G11:H11"/>
    <mergeCell ref="D14:E14"/>
    <mergeCell ref="D16:E16"/>
    <mergeCell ref="D18:E18"/>
    <mergeCell ref="D20:E20"/>
    <mergeCell ref="J16:AI16"/>
    <mergeCell ref="J18:AI18"/>
    <mergeCell ref="J20:AI20"/>
    <mergeCell ref="J14:AI14"/>
    <mergeCell ref="G16:H16"/>
    <mergeCell ref="G18:H18"/>
    <mergeCell ref="G20:H20"/>
    <mergeCell ref="G14:H14"/>
    <mergeCell ref="J22:AI22"/>
    <mergeCell ref="J24:AI24"/>
    <mergeCell ref="J26:AI26"/>
    <mergeCell ref="A30:L30"/>
    <mergeCell ref="G22:H22"/>
    <mergeCell ref="G24:H24"/>
    <mergeCell ref="G26:H26"/>
    <mergeCell ref="D24:E24"/>
    <mergeCell ref="D26:E26"/>
    <mergeCell ref="D22:E22"/>
    <mergeCell ref="A40:L40"/>
    <mergeCell ref="A42:L42"/>
    <mergeCell ref="A44:L44"/>
    <mergeCell ref="J5:AI6"/>
    <mergeCell ref="J8:AI9"/>
    <mergeCell ref="J11:AI12"/>
    <mergeCell ref="A32:L32"/>
    <mergeCell ref="A34:L34"/>
    <mergeCell ref="A36:L36"/>
    <mergeCell ref="A38:L38"/>
    <mergeCell ref="A49:L49"/>
    <mergeCell ref="A51:L51"/>
    <mergeCell ref="N49:O49"/>
    <mergeCell ref="N51:O51"/>
    <mergeCell ref="Q62:AI62"/>
    <mergeCell ref="Q64:AI64"/>
    <mergeCell ref="A53:L53"/>
    <mergeCell ref="A55:L55"/>
    <mergeCell ref="N53:O53"/>
    <mergeCell ref="N55:O55"/>
    <mergeCell ref="A57:L57"/>
    <mergeCell ref="N57:O57"/>
    <mergeCell ref="Q57:AI57"/>
    <mergeCell ref="Q60:AI60"/>
    <mergeCell ref="N30:O30"/>
    <mergeCell ref="N32:O32"/>
    <mergeCell ref="N34:O34"/>
    <mergeCell ref="N36:O36"/>
    <mergeCell ref="N38:O38"/>
    <mergeCell ref="N40:O40"/>
    <mergeCell ref="N42:O42"/>
    <mergeCell ref="N44:O44"/>
    <mergeCell ref="Q30:AI30"/>
    <mergeCell ref="Q32:AI32"/>
    <mergeCell ref="Q34:AI34"/>
    <mergeCell ref="Q36:AI36"/>
    <mergeCell ref="Q38:AI38"/>
    <mergeCell ref="Q40:AI40"/>
    <mergeCell ref="Q42:AI42"/>
    <mergeCell ref="Q44:AI44"/>
    <mergeCell ref="Q49:AI49"/>
    <mergeCell ref="Q51:AI51"/>
    <mergeCell ref="Q53:AI53"/>
    <mergeCell ref="Q55:AI55"/>
    <mergeCell ref="A60:L60"/>
    <mergeCell ref="A62:L62"/>
    <mergeCell ref="A64:L64"/>
    <mergeCell ref="N60:O60"/>
    <mergeCell ref="N62:O62"/>
    <mergeCell ref="N64:O64"/>
  </mergeCells>
  <printOptions/>
  <pageMargins left="0.3937007874015748" right="0.3937007874015748" top="0.3937007874015748" bottom="0.3937007874015748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Thought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Phaidros</dc:creator>
  <cp:keywords/>
  <dc:description/>
  <cp:lastModifiedBy>Phaidros</cp:lastModifiedBy>
  <cp:lastPrinted>2006-05-12T06:19:08Z</cp:lastPrinted>
  <dcterms:created xsi:type="dcterms:W3CDTF">2005-10-02T15:07:17Z</dcterms:created>
  <dcterms:modified xsi:type="dcterms:W3CDTF">2006-06-25T09:12:49Z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